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оплата 2013" sheetId="1" r:id="rId1"/>
    <sheet name="Уголь литейщик" sheetId="2" r:id="rId2"/>
    <sheet name="лимит и договор " sheetId="3" r:id="rId3"/>
    <sheet name="Расчет по углю за 9мес" sheetId="4" r:id="rId4"/>
    <sheet name="Расчет по углю за 10мес. " sheetId="5" r:id="rId5"/>
    <sheet name="Расчет по углю за 11 мес." sheetId="6" r:id="rId6"/>
    <sheet name="Лист1" sheetId="7" r:id="rId7"/>
  </sheets>
  <definedNames>
    <definedName name="_xlnm.Print_Area" localSheetId="3">'Расчет по углю за 9мес'!$A$1:$AV$62</definedName>
  </definedNames>
  <calcPr fullCalcOnLoad="1"/>
</workbook>
</file>

<file path=xl/sharedStrings.xml><?xml version="1.0" encoding="utf-8"?>
<sst xmlns="http://schemas.openxmlformats.org/spreadsheetml/2006/main" count="656" uniqueCount="151">
  <si>
    <t>РУО  г. Закаменск</t>
  </si>
  <si>
    <t xml:space="preserve">наименование </t>
  </si>
  <si>
    <t>школа №4 уголь</t>
  </si>
  <si>
    <t>Михайловка</t>
  </si>
  <si>
    <t>Ехэ-Цакир</t>
  </si>
  <si>
    <t>Шара-Азарга</t>
  </si>
  <si>
    <t>Утатуй</t>
  </si>
  <si>
    <t>Итого</t>
  </si>
  <si>
    <t>остаток на</t>
  </si>
  <si>
    <t>Оборотная ведомость по оплате за уголь  2010г.</t>
  </si>
  <si>
    <t>сумма</t>
  </si>
  <si>
    <t>оплата</t>
  </si>
  <si>
    <t xml:space="preserve">    предъявка</t>
  </si>
  <si>
    <t>тн</t>
  </si>
  <si>
    <t>кол-во</t>
  </si>
  <si>
    <t xml:space="preserve">школа №4 </t>
  </si>
  <si>
    <t>расход</t>
  </si>
  <si>
    <t xml:space="preserve">          расход</t>
  </si>
  <si>
    <t xml:space="preserve">      расход</t>
  </si>
  <si>
    <t xml:space="preserve">  </t>
  </si>
  <si>
    <t xml:space="preserve">       расход</t>
  </si>
  <si>
    <t>задолженность</t>
  </si>
  <si>
    <t>ноябрь</t>
  </si>
  <si>
    <t>декабрь</t>
  </si>
  <si>
    <t xml:space="preserve">сумма </t>
  </si>
  <si>
    <t>предъявка</t>
  </si>
  <si>
    <t>Итого за год</t>
  </si>
  <si>
    <t xml:space="preserve">оплата </t>
  </si>
  <si>
    <t xml:space="preserve">декабрь </t>
  </si>
  <si>
    <t>я н в а р ь  2011г.</t>
  </si>
  <si>
    <t xml:space="preserve">           ф е в р а л ь   2011г.</t>
  </si>
  <si>
    <t xml:space="preserve">                  м  а  р  т  2011г.</t>
  </si>
  <si>
    <t xml:space="preserve">                     а п р е л ь    2011г.</t>
  </si>
  <si>
    <t xml:space="preserve">сентябрь 2011г. </t>
  </si>
  <si>
    <t xml:space="preserve">лимит </t>
  </si>
  <si>
    <t xml:space="preserve">Санага </t>
  </si>
  <si>
    <t xml:space="preserve">июль 2011г. </t>
  </si>
  <si>
    <t xml:space="preserve">август 2011г. </t>
  </si>
  <si>
    <t xml:space="preserve">октябрь </t>
  </si>
  <si>
    <t xml:space="preserve">тн </t>
  </si>
  <si>
    <t xml:space="preserve">ноябрь </t>
  </si>
  <si>
    <t xml:space="preserve">май 2011г. </t>
  </si>
  <si>
    <t xml:space="preserve">на 01.01.2011г. </t>
  </si>
  <si>
    <t>Санага</t>
  </si>
  <si>
    <t xml:space="preserve">       предъявка с 01-08.2011г.</t>
  </si>
  <si>
    <t xml:space="preserve">с 30-тидневным запасом </t>
  </si>
  <si>
    <t>задолженность на 01.01.2012</t>
  </si>
  <si>
    <t>ИТОГОза 8 мес.</t>
  </si>
  <si>
    <t>Задолженность на 01.11.10</t>
  </si>
  <si>
    <t xml:space="preserve">Расход по углю 2011г. </t>
  </si>
  <si>
    <t xml:space="preserve">       предъявка с 01-11.2011г.</t>
  </si>
  <si>
    <t>Задолженность на 01.12.10</t>
  </si>
  <si>
    <t xml:space="preserve">с 20-тидневным запасом </t>
  </si>
  <si>
    <t>Остаток по лимиту  1943488,21</t>
  </si>
  <si>
    <t xml:space="preserve">                                Расход по углю за 2012г.</t>
  </si>
  <si>
    <t xml:space="preserve">на 01.01.2012г. </t>
  </si>
  <si>
    <t xml:space="preserve">       предъявка с 01-04.2012г.</t>
  </si>
  <si>
    <t xml:space="preserve">Задолженность на 01.05.12г. </t>
  </si>
  <si>
    <t xml:space="preserve">Задолженность на 01.10.12г. </t>
  </si>
  <si>
    <t xml:space="preserve">       предъявка с 01-10.2012г.</t>
  </si>
  <si>
    <t xml:space="preserve">Задолженность на 01.11.12г. </t>
  </si>
  <si>
    <t xml:space="preserve">задолженность на 01.01.2013г. </t>
  </si>
  <si>
    <t xml:space="preserve">ожидаемый </t>
  </si>
  <si>
    <t xml:space="preserve">       предъявка с 01-11.2012г.</t>
  </si>
  <si>
    <t xml:space="preserve">Январь 2013г. </t>
  </si>
  <si>
    <t xml:space="preserve">Итого за год+январь 2013г. </t>
  </si>
  <si>
    <t>АУ</t>
  </si>
  <si>
    <t>БУ</t>
  </si>
  <si>
    <t>ИТОГО:</t>
  </si>
  <si>
    <t xml:space="preserve">Разбивка на уголь </t>
  </si>
  <si>
    <t xml:space="preserve">Декабрь    2012г. </t>
  </si>
  <si>
    <t>остаток на 01.01.13г.</t>
  </si>
  <si>
    <t xml:space="preserve">       предъявка с 01-12.2012г.</t>
  </si>
  <si>
    <t xml:space="preserve">Задолженность на 01/01/2013г. </t>
  </si>
  <si>
    <t xml:space="preserve">       остаток на 01.04.2013г.</t>
  </si>
  <si>
    <t xml:space="preserve">                     а п р е л ь    2013г.</t>
  </si>
  <si>
    <t xml:space="preserve">остаток на 01.05.2013г. </t>
  </si>
  <si>
    <t>остаток на 01.09.13г.</t>
  </si>
  <si>
    <t xml:space="preserve">сентябрь  2013г. </t>
  </si>
  <si>
    <t>остаток на 01.10.13г.</t>
  </si>
  <si>
    <t xml:space="preserve">Октябрь  2013г. </t>
  </si>
  <si>
    <t xml:space="preserve">остаток на 01.11.13г. </t>
  </si>
  <si>
    <t xml:space="preserve">Декабрь    2013г. </t>
  </si>
  <si>
    <t>61745 ш</t>
  </si>
  <si>
    <t>64920 м</t>
  </si>
  <si>
    <t>оплата июль</t>
  </si>
  <si>
    <t>оплата июнь</t>
  </si>
  <si>
    <t>Уголь</t>
  </si>
  <si>
    <t>Оборотная ведомость по оплате за уголь  2013г.</t>
  </si>
  <si>
    <t>по лимиту</t>
  </si>
  <si>
    <t>ИТОГО за 11 мес.</t>
  </si>
  <si>
    <t xml:space="preserve">я н в а р ь  </t>
  </si>
  <si>
    <t xml:space="preserve">предъявка 2012г. </t>
  </si>
  <si>
    <t>разница</t>
  </si>
  <si>
    <t xml:space="preserve">           ф е в р а л ь   </t>
  </si>
  <si>
    <t xml:space="preserve"> предъявка 2013г. </t>
  </si>
  <si>
    <t xml:space="preserve">                  м  а  р  т  </t>
  </si>
  <si>
    <t xml:space="preserve">                     а п р е л ь    </t>
  </si>
  <si>
    <t xml:space="preserve">сентябрь  </t>
  </si>
  <si>
    <t xml:space="preserve">Октябрь  </t>
  </si>
  <si>
    <t xml:space="preserve">    предъявка 2013</t>
  </si>
  <si>
    <t>предъявка 2012</t>
  </si>
  <si>
    <t xml:space="preserve">Ноябрь 2012г. </t>
  </si>
  <si>
    <t xml:space="preserve">Декабрь 2012г. </t>
  </si>
  <si>
    <t xml:space="preserve">Оборотная ведомость по оплате угля в сравнении с 2012 годом   </t>
  </si>
  <si>
    <t>ВСЕГО</t>
  </si>
  <si>
    <t>разница за год</t>
  </si>
  <si>
    <t>предъявка 2013г.</t>
  </si>
  <si>
    <t>предъявка 2013.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</si>
  <si>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</si>
  <si>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Ноябрь 2013г. </t>
  </si>
  <si>
    <t>остаток на 01.12.13г.</t>
  </si>
  <si>
    <t>ми</t>
  </si>
  <si>
    <t>е-ц</t>
  </si>
  <si>
    <t>ш-а</t>
  </si>
  <si>
    <t>у</t>
  </si>
  <si>
    <t>с</t>
  </si>
  <si>
    <t>остаток на 01.01.14г.</t>
  </si>
  <si>
    <t>Михайловка остаток</t>
  </si>
  <si>
    <t xml:space="preserve">Поступило за 2013г. </t>
  </si>
  <si>
    <t xml:space="preserve">Оплата за 2013г. </t>
  </si>
  <si>
    <t xml:space="preserve">остаток на 01.01.2014г. </t>
  </si>
  <si>
    <t xml:space="preserve">Литейщик </t>
  </si>
  <si>
    <t>Ремтранс</t>
  </si>
  <si>
    <t xml:space="preserve">БУ </t>
  </si>
  <si>
    <t xml:space="preserve">остаток на 01.01.2013г. </t>
  </si>
  <si>
    <t>Тн</t>
  </si>
  <si>
    <t>предъявка за 2013г.</t>
  </si>
  <si>
    <t>Итого:</t>
  </si>
  <si>
    <t>остаток на 01.01.2014</t>
  </si>
  <si>
    <t>Оплата</t>
  </si>
  <si>
    <t>01.01.14г.</t>
  </si>
  <si>
    <t>я н в а р ь  2014г.</t>
  </si>
  <si>
    <t>Оборотная ведомость по оплате за уголь  2014г.</t>
  </si>
  <si>
    <t xml:space="preserve">Январь 2014г. </t>
  </si>
  <si>
    <t>остаток  на 01.02.2014</t>
  </si>
  <si>
    <t xml:space="preserve">           ф е в р а л ь   2014г.</t>
  </si>
  <si>
    <t xml:space="preserve">Февраль 2014г. </t>
  </si>
  <si>
    <t xml:space="preserve">Сумма </t>
  </si>
  <si>
    <t>Предъявка</t>
  </si>
  <si>
    <t>Расход</t>
  </si>
  <si>
    <t>остаток  на 01.03.2014</t>
  </si>
  <si>
    <t>остаток на 01.03.14г.</t>
  </si>
  <si>
    <t xml:space="preserve">Март 2014г. </t>
  </si>
  <si>
    <t xml:space="preserve">                  м  а  р  т  2014г.</t>
  </si>
  <si>
    <t>ПМК</t>
  </si>
  <si>
    <t>Литейщик</t>
  </si>
  <si>
    <t>Всего</t>
  </si>
  <si>
    <t xml:space="preserve">Заявка на уголь 2014г. </t>
  </si>
  <si>
    <t>остаток  на 01.04.2014</t>
  </si>
  <si>
    <t>остаток  на 01.10.2014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</si>
</sst>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2" xfId="0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Fill="1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2" fontId="0" fillId="0" borderId="17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wrapText="1"/>
    </xf>
    <xf numFmtId="2" fontId="3" fillId="0" borderId="10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33" borderId="13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2" fontId="0" fillId="0" borderId="0" xfId="0" applyNumberForma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0" xfId="0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2" fontId="6" fillId="0" borderId="13" xfId="0" applyNumberFormat="1" applyFont="1" applyBorder="1" applyAlignment="1">
      <alignment/>
    </xf>
    <xf numFmtId="0" fontId="0" fillId="33" borderId="10" xfId="0" applyFill="1" applyBorder="1" applyAlignment="1">
      <alignment/>
    </xf>
    <xf numFmtId="2" fontId="0" fillId="33" borderId="13" xfId="0" applyNumberFormat="1" applyFill="1" applyBorder="1" applyAlignment="1">
      <alignment/>
    </xf>
    <xf numFmtId="0" fontId="6" fillId="33" borderId="13" xfId="0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 wrapText="1"/>
    </xf>
    <xf numFmtId="0" fontId="0" fillId="33" borderId="10" xfId="0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0" xfId="0" applyBorder="1" applyAlignment="1">
      <alignment wrapText="1"/>
    </xf>
    <xf numFmtId="2" fontId="3" fillId="0" borderId="0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8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3" xfId="0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wrapText="1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3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7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3" fillId="0" borderId="15" xfId="0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4"/>
  <sheetViews>
    <sheetView zoomScalePageLayoutView="0" workbookViewId="0" topLeftCell="A1">
      <pane xSplit="3" ySplit="7" topLeftCell="J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Z8" sqref="Z8:Z13"/>
    </sheetView>
  </sheetViews>
  <sheetFormatPr defaultColWidth="9.00390625" defaultRowHeight="12.75"/>
  <cols>
    <col min="1" max="1" width="15.375" style="0" customWidth="1"/>
    <col min="2" max="2" width="5.75390625" style="0" hidden="1" customWidth="1"/>
    <col min="3" max="3" width="12.125" style="0" hidden="1" customWidth="1"/>
    <col min="4" max="4" width="5.75390625" style="0" hidden="1" customWidth="1"/>
    <col min="5" max="5" width="11.25390625" style="0" hidden="1" customWidth="1"/>
    <col min="6" max="6" width="11.75390625" style="0" hidden="1" customWidth="1"/>
    <col min="7" max="7" width="15.125" style="0" hidden="1" customWidth="1"/>
    <col min="8" max="8" width="11.75390625" style="0" hidden="1" customWidth="1"/>
    <col min="9" max="9" width="5.00390625" style="0" hidden="1" customWidth="1"/>
    <col min="10" max="10" width="10.125" style="0" hidden="1" customWidth="1"/>
    <col min="11" max="11" width="5.75390625" style="0" hidden="1" customWidth="1"/>
    <col min="12" max="12" width="11.00390625" style="0" hidden="1" customWidth="1"/>
    <col min="13" max="13" width="11.625" style="0" hidden="1" customWidth="1"/>
    <col min="14" max="14" width="11.875" style="0" hidden="1" customWidth="1"/>
    <col min="15" max="15" width="11.625" style="0" hidden="1" customWidth="1"/>
    <col min="16" max="16" width="6.375" style="0" hidden="1" customWidth="1"/>
    <col min="17" max="17" width="11.75390625" style="0" hidden="1" customWidth="1"/>
    <col min="18" max="18" width="6.875" style="0" hidden="1" customWidth="1"/>
    <col min="19" max="19" width="11.375" style="0" hidden="1" customWidth="1"/>
    <col min="20" max="20" width="8.00390625" style="0" hidden="1" customWidth="1"/>
    <col min="21" max="21" width="5.625" style="0" hidden="1" customWidth="1"/>
    <col min="22" max="22" width="6.625" style="0" hidden="1" customWidth="1"/>
    <col min="23" max="23" width="6.375" style="0" hidden="1" customWidth="1"/>
    <col min="24" max="24" width="10.75390625" style="0" hidden="1" customWidth="1"/>
    <col min="25" max="25" width="5.375" style="0" customWidth="1"/>
    <col min="26" max="26" width="10.25390625" style="0" customWidth="1"/>
    <col min="27" max="27" width="9.75390625" style="0" customWidth="1"/>
    <col min="28" max="28" width="5.375" style="0" customWidth="1"/>
    <col min="29" max="29" width="10.25390625" style="0" customWidth="1"/>
    <col min="30" max="30" width="6.75390625" style="0" customWidth="1"/>
    <col min="31" max="33" width="11.00390625" style="0" customWidth="1"/>
    <col min="34" max="34" width="5.625" style="0" customWidth="1"/>
    <col min="35" max="35" width="10.25390625" style="0" customWidth="1"/>
    <col min="36" max="36" width="5.25390625" style="0" customWidth="1"/>
    <col min="37" max="37" width="11.125" style="0" customWidth="1"/>
    <col min="38" max="38" width="10.625" style="0" customWidth="1"/>
    <col min="39" max="39" width="6.375" style="0" customWidth="1"/>
    <col min="40" max="40" width="10.875" style="0" customWidth="1"/>
    <col min="41" max="41" width="10.75390625" style="0" customWidth="1"/>
    <col min="42" max="42" width="5.625" style="0" customWidth="1"/>
    <col min="43" max="43" width="10.625" style="0" customWidth="1"/>
    <col min="44" max="44" width="7.00390625" style="0" customWidth="1"/>
    <col min="45" max="45" width="11.125" style="0" customWidth="1"/>
    <col min="46" max="46" width="6.75390625" style="0" customWidth="1"/>
    <col min="47" max="47" width="12.375" style="0" customWidth="1"/>
    <col min="48" max="48" width="5.625" style="0" customWidth="1"/>
    <col min="50" max="50" width="7.25390625" style="0" customWidth="1"/>
    <col min="51" max="52" width="12.625" style="0" customWidth="1"/>
    <col min="53" max="53" width="7.25390625" style="0" customWidth="1"/>
    <col min="54" max="54" width="13.375" style="0" customWidth="1"/>
    <col min="55" max="55" width="13.625" style="0" customWidth="1"/>
    <col min="56" max="56" width="7.125" style="0" customWidth="1"/>
    <col min="57" max="57" width="12.125" style="0" customWidth="1"/>
    <col min="58" max="58" width="10.875" style="0" customWidth="1"/>
    <col min="59" max="59" width="12.125" style="0" customWidth="1"/>
    <col min="60" max="60" width="11.00390625" style="0" customWidth="1"/>
    <col min="61" max="61" width="13.125" style="0" customWidth="1"/>
    <col min="62" max="62" width="10.875" style="0" customWidth="1"/>
    <col min="63" max="63" width="7.25390625" style="0" customWidth="1"/>
    <col min="64" max="64" width="12.125" style="0" customWidth="1"/>
    <col min="66" max="66" width="11.875" style="0" customWidth="1"/>
    <col min="67" max="67" width="11.625" style="0" customWidth="1"/>
    <col min="68" max="68" width="14.00390625" style="0" customWidth="1"/>
    <col min="69" max="69" width="13.25390625" style="0" customWidth="1"/>
    <col min="70" max="70" width="12.75390625" style="0" customWidth="1"/>
    <col min="74" max="74" width="10.625" style="0" customWidth="1"/>
    <col min="78" max="78" width="12.125" style="0" customWidth="1"/>
  </cols>
  <sheetData>
    <row r="1" spans="1:65" ht="15.75">
      <c r="A1" s="1" t="s">
        <v>133</v>
      </c>
      <c r="B1" s="1"/>
      <c r="C1" s="1"/>
      <c r="D1" s="1"/>
      <c r="E1" s="1"/>
      <c r="BI1" s="1" t="s">
        <v>88</v>
      </c>
      <c r="BJ1" s="1"/>
      <c r="BK1" s="1"/>
      <c r="BL1" s="1"/>
      <c r="BM1" s="1"/>
    </row>
    <row r="2" spans="1:65" ht="15.75">
      <c r="A2" s="1" t="s">
        <v>0</v>
      </c>
      <c r="B2" s="1"/>
      <c r="C2" s="1"/>
      <c r="D2" s="1"/>
      <c r="E2" s="1"/>
      <c r="BI2" s="1" t="s">
        <v>0</v>
      </c>
      <c r="BJ2" s="1"/>
      <c r="BK2" s="1"/>
      <c r="BL2" s="1"/>
      <c r="BM2" s="1"/>
    </row>
    <row r="5" spans="1:70" ht="12.75" customHeight="1">
      <c r="A5" s="2"/>
      <c r="B5" s="2"/>
      <c r="C5" s="11" t="s">
        <v>8</v>
      </c>
      <c r="D5" s="24"/>
      <c r="E5" s="25" t="s">
        <v>132</v>
      </c>
      <c r="F5" s="25"/>
      <c r="G5" s="23" t="s">
        <v>19</v>
      </c>
      <c r="H5" s="13"/>
      <c r="I5" s="68" t="s">
        <v>135</v>
      </c>
      <c r="J5" s="69"/>
      <c r="K5" s="15" t="s">
        <v>136</v>
      </c>
      <c r="L5" s="22"/>
      <c r="M5" s="23"/>
      <c r="N5" s="23"/>
      <c r="O5" s="13"/>
      <c r="P5" s="68" t="s">
        <v>142</v>
      </c>
      <c r="Q5" s="69"/>
      <c r="R5" s="82" t="s">
        <v>144</v>
      </c>
      <c r="S5" s="83"/>
      <c r="T5" s="83"/>
      <c r="U5" s="83"/>
      <c r="V5" s="84"/>
      <c r="W5" s="68" t="s">
        <v>74</v>
      </c>
      <c r="X5" s="69"/>
      <c r="Y5" s="82" t="s">
        <v>75</v>
      </c>
      <c r="Z5" s="83"/>
      <c r="AA5" s="83"/>
      <c r="AB5" s="83"/>
      <c r="AC5" s="84"/>
      <c r="AD5" s="68" t="s">
        <v>76</v>
      </c>
      <c r="AE5" s="72"/>
      <c r="AF5" s="40"/>
      <c r="AG5" s="40"/>
      <c r="AH5" s="79" t="s">
        <v>77</v>
      </c>
      <c r="AI5" s="69"/>
      <c r="AJ5" s="74" t="s">
        <v>47</v>
      </c>
      <c r="AK5" s="75"/>
      <c r="AL5" s="75"/>
      <c r="AM5" s="76" t="s">
        <v>78</v>
      </c>
      <c r="AN5" s="77"/>
      <c r="AO5" s="77"/>
      <c r="AP5" s="77"/>
      <c r="AQ5" s="78"/>
      <c r="AR5" s="79" t="s">
        <v>79</v>
      </c>
      <c r="AS5" s="69"/>
      <c r="AT5" s="76" t="s">
        <v>80</v>
      </c>
      <c r="AU5" s="77"/>
      <c r="AV5" s="77"/>
      <c r="AW5" s="78"/>
      <c r="AX5" s="79" t="s">
        <v>81</v>
      </c>
      <c r="AY5" s="69"/>
      <c r="AZ5" s="85" t="s">
        <v>89</v>
      </c>
      <c r="BA5" s="76" t="s">
        <v>110</v>
      </c>
      <c r="BB5" s="77"/>
      <c r="BC5" s="77"/>
      <c r="BD5" s="77"/>
      <c r="BE5" s="78"/>
      <c r="BF5" s="79" t="s">
        <v>111</v>
      </c>
      <c r="BG5" s="69"/>
      <c r="BH5" s="76" t="s">
        <v>82</v>
      </c>
      <c r="BI5" s="77"/>
      <c r="BJ5" s="77"/>
      <c r="BK5" s="77"/>
      <c r="BL5" s="78"/>
      <c r="BM5" s="79" t="s">
        <v>117</v>
      </c>
      <c r="BN5" s="69"/>
      <c r="BO5" s="88" t="s">
        <v>13</v>
      </c>
      <c r="BP5" s="88" t="s">
        <v>119</v>
      </c>
      <c r="BQ5" s="89" t="s">
        <v>120</v>
      </c>
      <c r="BR5" s="88" t="s">
        <v>121</v>
      </c>
    </row>
    <row r="6" spans="1:79" ht="25.5">
      <c r="A6" s="2" t="s">
        <v>1</v>
      </c>
      <c r="B6" s="2"/>
      <c r="C6" s="5" t="s">
        <v>131</v>
      </c>
      <c r="D6" s="20" t="s">
        <v>12</v>
      </c>
      <c r="E6" s="21"/>
      <c r="F6" s="21" t="s">
        <v>11</v>
      </c>
      <c r="G6" s="61" t="s">
        <v>17</v>
      </c>
      <c r="H6" s="21"/>
      <c r="I6" s="70"/>
      <c r="J6" s="71"/>
      <c r="K6" s="5" t="s">
        <v>12</v>
      </c>
      <c r="L6" s="21"/>
      <c r="M6" s="21" t="s">
        <v>11</v>
      </c>
      <c r="N6" s="21" t="s">
        <v>18</v>
      </c>
      <c r="O6" s="21"/>
      <c r="P6" s="70"/>
      <c r="Q6" s="71"/>
      <c r="R6" s="5" t="s">
        <v>12</v>
      </c>
      <c r="S6" s="2"/>
      <c r="T6" s="2" t="s">
        <v>11</v>
      </c>
      <c r="U6" s="2" t="s">
        <v>16</v>
      </c>
      <c r="V6" s="11"/>
      <c r="W6" s="70"/>
      <c r="X6" s="71"/>
      <c r="Y6" s="5" t="s">
        <v>12</v>
      </c>
      <c r="Z6" s="2"/>
      <c r="AA6" s="2" t="s">
        <v>11</v>
      </c>
      <c r="AB6" s="2" t="s">
        <v>20</v>
      </c>
      <c r="AC6" s="11"/>
      <c r="AD6" s="70"/>
      <c r="AE6" s="73"/>
      <c r="AF6" s="41" t="s">
        <v>86</v>
      </c>
      <c r="AG6" s="41" t="s">
        <v>85</v>
      </c>
      <c r="AH6" s="70"/>
      <c r="AI6" s="71"/>
      <c r="AJ6" s="5" t="s">
        <v>12</v>
      </c>
      <c r="AK6" s="2"/>
      <c r="AL6" s="2" t="s">
        <v>11</v>
      </c>
      <c r="AM6" s="81" t="s">
        <v>12</v>
      </c>
      <c r="AN6" s="78"/>
      <c r="AO6" s="2" t="s">
        <v>11</v>
      </c>
      <c r="AP6" s="2" t="s">
        <v>16</v>
      </c>
      <c r="AQ6" s="16"/>
      <c r="AR6" s="70"/>
      <c r="AS6" s="71"/>
      <c r="AT6" s="5" t="s">
        <v>12</v>
      </c>
      <c r="AU6" s="2"/>
      <c r="AV6" s="2" t="s">
        <v>16</v>
      </c>
      <c r="AW6" s="16"/>
      <c r="AX6" s="70"/>
      <c r="AY6" s="71"/>
      <c r="AZ6" s="86"/>
      <c r="BA6" s="5" t="s">
        <v>12</v>
      </c>
      <c r="BB6" s="2"/>
      <c r="BC6" s="2" t="s">
        <v>11</v>
      </c>
      <c r="BD6" s="80" t="s">
        <v>16</v>
      </c>
      <c r="BE6" s="78"/>
      <c r="BF6" s="70"/>
      <c r="BG6" s="71"/>
      <c r="BH6" s="5" t="s">
        <v>12</v>
      </c>
      <c r="BI6" s="2"/>
      <c r="BJ6" s="2" t="s">
        <v>11</v>
      </c>
      <c r="BK6" s="80" t="s">
        <v>16</v>
      </c>
      <c r="BL6" s="78"/>
      <c r="BM6" s="70"/>
      <c r="BN6" s="71"/>
      <c r="BO6" s="88"/>
      <c r="BP6" s="88"/>
      <c r="BQ6" s="88"/>
      <c r="BR6" s="88"/>
      <c r="BT6" s="4"/>
      <c r="BU6" s="88" t="s">
        <v>125</v>
      </c>
      <c r="BV6" s="88"/>
      <c r="BW6" s="88" t="s">
        <v>127</v>
      </c>
      <c r="BX6" s="88"/>
      <c r="BY6" s="4"/>
      <c r="BZ6" s="88" t="s">
        <v>129</v>
      </c>
      <c r="CA6" s="88"/>
    </row>
    <row r="7" spans="1:79" ht="12.75">
      <c r="A7" s="3"/>
      <c r="B7" s="3"/>
      <c r="C7" s="4"/>
      <c r="D7" s="2" t="s">
        <v>13</v>
      </c>
      <c r="E7" s="2" t="s">
        <v>10</v>
      </c>
      <c r="F7" s="2" t="s">
        <v>10</v>
      </c>
      <c r="G7" s="2" t="s">
        <v>13</v>
      </c>
      <c r="H7" s="2" t="s">
        <v>10</v>
      </c>
      <c r="I7" s="2" t="s">
        <v>13</v>
      </c>
      <c r="J7" s="2" t="s">
        <v>10</v>
      </c>
      <c r="K7" s="2" t="s">
        <v>13</v>
      </c>
      <c r="L7" s="2" t="s">
        <v>10</v>
      </c>
      <c r="M7" s="2" t="s">
        <v>10</v>
      </c>
      <c r="N7" s="2" t="s">
        <v>13</v>
      </c>
      <c r="O7" s="2" t="s">
        <v>10</v>
      </c>
      <c r="P7" s="2" t="s">
        <v>13</v>
      </c>
      <c r="Q7" s="2" t="s">
        <v>10</v>
      </c>
      <c r="R7" s="2" t="s">
        <v>13</v>
      </c>
      <c r="S7" s="2" t="s">
        <v>10</v>
      </c>
      <c r="T7" s="2" t="s">
        <v>10</v>
      </c>
      <c r="U7" s="2" t="s">
        <v>13</v>
      </c>
      <c r="V7" s="2" t="s">
        <v>10</v>
      </c>
      <c r="W7" s="11" t="s">
        <v>13</v>
      </c>
      <c r="X7" s="11" t="s">
        <v>10</v>
      </c>
      <c r="Y7" s="2" t="s">
        <v>13</v>
      </c>
      <c r="Z7" s="2" t="s">
        <v>10</v>
      </c>
      <c r="AA7" s="2" t="s">
        <v>10</v>
      </c>
      <c r="AB7" s="11"/>
      <c r="AC7" s="11"/>
      <c r="AD7" s="11" t="s">
        <v>13</v>
      </c>
      <c r="AE7" s="16" t="s">
        <v>10</v>
      </c>
      <c r="AF7" s="16"/>
      <c r="AG7" s="16"/>
      <c r="AH7" s="2" t="s">
        <v>13</v>
      </c>
      <c r="AI7" s="5" t="s">
        <v>10</v>
      </c>
      <c r="AJ7" s="2" t="s">
        <v>13</v>
      </c>
      <c r="AK7" s="2" t="s">
        <v>10</v>
      </c>
      <c r="AL7" s="2" t="s">
        <v>10</v>
      </c>
      <c r="AM7" s="2" t="s">
        <v>13</v>
      </c>
      <c r="AN7" s="2" t="s">
        <v>10</v>
      </c>
      <c r="AO7" s="2" t="s">
        <v>10</v>
      </c>
      <c r="AP7" s="11"/>
      <c r="AQ7" s="11"/>
      <c r="AR7" s="2" t="s">
        <v>13</v>
      </c>
      <c r="AS7" s="5" t="s">
        <v>10</v>
      </c>
      <c r="AT7" s="2" t="s">
        <v>13</v>
      </c>
      <c r="AU7" s="2" t="s">
        <v>10</v>
      </c>
      <c r="AV7" s="11" t="s">
        <v>39</v>
      </c>
      <c r="AW7" s="11" t="s">
        <v>24</v>
      </c>
      <c r="AX7" s="2" t="s">
        <v>13</v>
      </c>
      <c r="AY7" s="5" t="s">
        <v>10</v>
      </c>
      <c r="AZ7" s="87"/>
      <c r="BA7" s="2" t="s">
        <v>13</v>
      </c>
      <c r="BB7" s="2" t="s">
        <v>10</v>
      </c>
      <c r="BC7" s="2" t="s">
        <v>10</v>
      </c>
      <c r="BD7" s="11"/>
      <c r="BE7" s="11"/>
      <c r="BF7" s="2" t="s">
        <v>13</v>
      </c>
      <c r="BG7" s="5" t="s">
        <v>10</v>
      </c>
      <c r="BH7" s="2" t="s">
        <v>13</v>
      </c>
      <c r="BI7" s="2" t="s">
        <v>10</v>
      </c>
      <c r="BJ7" s="2" t="s">
        <v>10</v>
      </c>
      <c r="BK7" s="11" t="s">
        <v>13</v>
      </c>
      <c r="BL7" s="11" t="s">
        <v>10</v>
      </c>
      <c r="BM7" s="2" t="s">
        <v>13</v>
      </c>
      <c r="BN7" s="5" t="s">
        <v>10</v>
      </c>
      <c r="BO7" s="88"/>
      <c r="BP7" s="88"/>
      <c r="BQ7" s="88"/>
      <c r="BR7" s="88"/>
      <c r="BT7" s="4"/>
      <c r="BU7" s="4" t="s">
        <v>13</v>
      </c>
      <c r="BV7" s="4" t="s">
        <v>24</v>
      </c>
      <c r="BW7" s="4" t="s">
        <v>126</v>
      </c>
      <c r="BX7" s="4" t="s">
        <v>24</v>
      </c>
      <c r="BY7" s="4" t="s">
        <v>11</v>
      </c>
      <c r="BZ7" s="4" t="s">
        <v>24</v>
      </c>
      <c r="CA7" s="4"/>
    </row>
    <row r="8" spans="1:79" ht="12.75">
      <c r="A8" s="4" t="s">
        <v>2</v>
      </c>
      <c r="B8" s="4">
        <v>14</v>
      </c>
      <c r="C8" s="6">
        <v>69854.71999999986</v>
      </c>
      <c r="D8" s="4"/>
      <c r="E8" s="4"/>
      <c r="F8" s="4">
        <v>69854.72</v>
      </c>
      <c r="G8" s="4">
        <v>14</v>
      </c>
      <c r="H8" s="4">
        <v>36220.6</v>
      </c>
      <c r="I8" s="4">
        <f aca="true" t="shared" si="0" ref="I8:I13">B8+D8-G8</f>
        <v>0</v>
      </c>
      <c r="J8" s="6">
        <f aca="true" t="shared" si="1" ref="J8:J13">C8+E8-F8</f>
        <v>-1.4551915228366852E-10</v>
      </c>
      <c r="K8" s="4">
        <v>46</v>
      </c>
      <c r="L8" s="4">
        <v>124172.56</v>
      </c>
      <c r="M8" s="4"/>
      <c r="N8" s="4">
        <v>32.68</v>
      </c>
      <c r="O8" s="4"/>
      <c r="P8" s="4">
        <f aca="true" t="shared" si="2" ref="P8:P13">I8+K8-N8</f>
        <v>13.32</v>
      </c>
      <c r="Q8" s="6">
        <f aca="true" t="shared" si="3" ref="Q8:Q13">J8+L8-M8</f>
        <v>124172.55999999985</v>
      </c>
      <c r="R8" s="4">
        <v>42</v>
      </c>
      <c r="S8" s="4">
        <v>113374.94</v>
      </c>
      <c r="T8" s="4"/>
      <c r="U8" s="38">
        <v>13.32</v>
      </c>
      <c r="V8" s="19"/>
      <c r="W8" s="19">
        <f aca="true" t="shared" si="4" ref="W8:W13">P8+R8-U8</f>
        <v>42</v>
      </c>
      <c r="X8" s="17">
        <f aca="true" t="shared" si="5" ref="X8:X13">Q8+S8-T8</f>
        <v>237547.49999999985</v>
      </c>
      <c r="Y8" s="4"/>
      <c r="Z8" s="4">
        <f aca="true" t="shared" si="6" ref="Z8:Z13">E8+L8+S8</f>
        <v>237547.5</v>
      </c>
      <c r="AA8" s="4"/>
      <c r="AB8" s="19"/>
      <c r="AC8" s="19"/>
      <c r="AD8" s="19">
        <f aca="true" t="shared" si="7" ref="AD8:AD13">W8+Y8-AB8</f>
        <v>42</v>
      </c>
      <c r="AE8" s="17">
        <f aca="true" t="shared" si="8" ref="AE8:AE13">X8+Z8-AA8</f>
        <v>475094.9999999999</v>
      </c>
      <c r="AF8" s="17">
        <v>25871</v>
      </c>
      <c r="AG8" s="17"/>
      <c r="AH8" s="19">
        <f aca="true" t="shared" si="9" ref="AH8:AH13">AD8</f>
        <v>42</v>
      </c>
      <c r="AI8" s="17">
        <f aca="true" t="shared" si="10" ref="AI8:AI13">AE8-AF8-AG8</f>
        <v>449223.9999999999</v>
      </c>
      <c r="AJ8" s="4">
        <f aca="true" t="shared" si="11" ref="AJ8:AL13">D8+K8+R8+Y8</f>
        <v>88</v>
      </c>
      <c r="AK8" s="4">
        <f t="shared" si="11"/>
        <v>475095</v>
      </c>
      <c r="AL8" s="4">
        <f t="shared" si="11"/>
        <v>69854.72</v>
      </c>
      <c r="AM8" s="4">
        <v>16</v>
      </c>
      <c r="AN8" s="4">
        <v>41394.97</v>
      </c>
      <c r="AO8" s="4"/>
      <c r="AP8" s="4">
        <v>24</v>
      </c>
      <c r="AQ8" s="4"/>
      <c r="AR8" s="19">
        <f aca="true" t="shared" si="12" ref="AR8:AR13">AH8+AM8-AP8</f>
        <v>34</v>
      </c>
      <c r="AS8" s="17">
        <f aca="true" t="shared" si="13" ref="AS8:AS13">AI8+AN8-AO8</f>
        <v>490618.96999999986</v>
      </c>
      <c r="AT8" s="4">
        <v>45</v>
      </c>
      <c r="AU8" s="4">
        <v>116423.34</v>
      </c>
      <c r="AV8" s="4">
        <v>24</v>
      </c>
      <c r="AW8" s="4"/>
      <c r="AX8" s="19">
        <f aca="true" t="shared" si="14" ref="AX8:AX13">AR8+AT8-AV8</f>
        <v>55</v>
      </c>
      <c r="AY8" s="17">
        <f aca="true" t="shared" si="15" ref="AY8:AY13">AS8+AU8</f>
        <v>607042.3099999998</v>
      </c>
      <c r="AZ8" s="17">
        <v>390</v>
      </c>
      <c r="BA8" s="4">
        <v>83</v>
      </c>
      <c r="BB8" s="4">
        <v>214736.39</v>
      </c>
      <c r="BC8" s="6">
        <v>157819.33</v>
      </c>
      <c r="BD8" s="4">
        <v>41</v>
      </c>
      <c r="BE8" s="4"/>
      <c r="BF8" s="44">
        <f aca="true" t="shared" si="16" ref="BF8:BF13">AX8+BA8-BD8</f>
        <v>97</v>
      </c>
      <c r="BG8" s="48">
        <f aca="true" t="shared" si="17" ref="BG8:BG13">AY8+BB8-BC8</f>
        <v>663959.3699999999</v>
      </c>
      <c r="BH8" s="4"/>
      <c r="BI8" s="4"/>
      <c r="BJ8" s="6">
        <v>144881.67</v>
      </c>
      <c r="BK8" s="4">
        <v>60</v>
      </c>
      <c r="BL8" s="4"/>
      <c r="BM8" s="19">
        <f aca="true" t="shared" si="18" ref="BM8:BM13">BF8+BH8-BK8</f>
        <v>37</v>
      </c>
      <c r="BN8" s="6">
        <f aca="true" t="shared" si="19" ref="BN8:BN13">BG8+BI8-BJ8</f>
        <v>519077.69999999984</v>
      </c>
      <c r="BO8" s="4">
        <f aca="true" t="shared" si="20" ref="BO8:BP13">D8+K8+R8+Y8+AM8+AT8+BA8+BH8</f>
        <v>232</v>
      </c>
      <c r="BP8" s="4">
        <f t="shared" si="20"/>
        <v>847649.7</v>
      </c>
      <c r="BQ8" s="6">
        <f aca="true" t="shared" si="21" ref="BQ8:BQ13">F8+M8+T8+AA8+AF8+AG8+BC8+BJ8</f>
        <v>398426.72</v>
      </c>
      <c r="BR8" s="6">
        <f aca="true" t="shared" si="22" ref="BR8:BR13">C8+BP8-BQ8</f>
        <v>519077.69999999984</v>
      </c>
      <c r="BT8" s="4" t="s">
        <v>67</v>
      </c>
      <c r="BU8" s="4">
        <f>B8+B11+B13</f>
        <v>14</v>
      </c>
      <c r="BV8" s="4">
        <f>C8+C11+C13</f>
        <v>340730.1799999997</v>
      </c>
      <c r="BW8" s="4">
        <f>BO8+BO11+BO13</f>
        <v>771</v>
      </c>
      <c r="BX8" s="4">
        <f>BP8+BP11+BP13</f>
        <v>2995259.3899999997</v>
      </c>
      <c r="BY8" s="4">
        <f>BQ8+BQ11+BQ13</f>
        <v>1813952.47</v>
      </c>
      <c r="BZ8" s="4">
        <f>BV8+BX8-BY8</f>
        <v>1522037.0999999994</v>
      </c>
      <c r="CA8" s="4"/>
    </row>
    <row r="9" spans="1:79" s="32" customFormat="1" ht="12.75">
      <c r="A9" s="49" t="s">
        <v>3</v>
      </c>
      <c r="B9" s="49">
        <v>0</v>
      </c>
      <c r="C9" s="4">
        <v>64920.23999999998</v>
      </c>
      <c r="D9" s="49"/>
      <c r="E9" s="49"/>
      <c r="F9" s="49">
        <v>77504.66</v>
      </c>
      <c r="G9" s="49"/>
      <c r="H9" s="49"/>
      <c r="I9" s="49">
        <f t="shared" si="0"/>
        <v>0</v>
      </c>
      <c r="J9" s="39">
        <f t="shared" si="1"/>
        <v>-12584.42000000002</v>
      </c>
      <c r="K9" s="49"/>
      <c r="L9" s="49"/>
      <c r="M9" s="49"/>
      <c r="N9" s="49"/>
      <c r="O9" s="49"/>
      <c r="P9" s="49">
        <f t="shared" si="2"/>
        <v>0</v>
      </c>
      <c r="Q9" s="39">
        <f t="shared" si="3"/>
        <v>-12584.42000000002</v>
      </c>
      <c r="R9" s="49"/>
      <c r="S9" s="49"/>
      <c r="T9" s="49"/>
      <c r="U9" s="38"/>
      <c r="V9" s="38"/>
      <c r="W9" s="38">
        <f t="shared" si="4"/>
        <v>0</v>
      </c>
      <c r="X9" s="50">
        <f t="shared" si="5"/>
        <v>-12584.42000000002</v>
      </c>
      <c r="Y9" s="49"/>
      <c r="Z9" s="4">
        <f t="shared" si="6"/>
        <v>0</v>
      </c>
      <c r="AA9" s="49"/>
      <c r="AB9" s="38"/>
      <c r="AC9" s="38"/>
      <c r="AD9" s="38">
        <f t="shared" si="7"/>
        <v>0</v>
      </c>
      <c r="AE9" s="50">
        <f t="shared" si="8"/>
        <v>-12584.42000000002</v>
      </c>
      <c r="AF9" s="50"/>
      <c r="AG9" s="50">
        <v>64920</v>
      </c>
      <c r="AH9" s="38">
        <f t="shared" si="9"/>
        <v>0</v>
      </c>
      <c r="AI9" s="50">
        <f t="shared" si="10"/>
        <v>-77504.42000000001</v>
      </c>
      <c r="AJ9" s="49">
        <f t="shared" si="11"/>
        <v>0</v>
      </c>
      <c r="AK9" s="49">
        <f t="shared" si="11"/>
        <v>0</v>
      </c>
      <c r="AL9" s="49">
        <f t="shared" si="11"/>
        <v>77504.66</v>
      </c>
      <c r="AM9" s="49">
        <v>19.55</v>
      </c>
      <c r="AN9" s="49">
        <v>55182.2</v>
      </c>
      <c r="AO9" s="49"/>
      <c r="AP9" s="39">
        <v>20</v>
      </c>
      <c r="AQ9" s="49"/>
      <c r="AR9" s="38">
        <f t="shared" si="12"/>
        <v>-0.4499999999999993</v>
      </c>
      <c r="AS9" s="50">
        <f t="shared" si="13"/>
        <v>-22322.220000000016</v>
      </c>
      <c r="AT9" s="49">
        <v>46</v>
      </c>
      <c r="AU9" s="49">
        <v>129840.47</v>
      </c>
      <c r="AV9" s="49">
        <v>31</v>
      </c>
      <c r="AW9" s="49"/>
      <c r="AX9" s="38">
        <f t="shared" si="14"/>
        <v>14.549999999999997</v>
      </c>
      <c r="AY9" s="50">
        <f t="shared" si="15"/>
        <v>107518.24999999999</v>
      </c>
      <c r="AZ9" s="50">
        <v>390</v>
      </c>
      <c r="BA9" s="49">
        <v>23</v>
      </c>
      <c r="BB9" s="49">
        <v>64920.24</v>
      </c>
      <c r="BC9" s="39">
        <v>108788.1</v>
      </c>
      <c r="BD9" s="49">
        <v>32.6</v>
      </c>
      <c r="BE9" s="49"/>
      <c r="BF9" s="51">
        <f t="shared" si="16"/>
        <v>4.949999999999996</v>
      </c>
      <c r="BG9" s="52">
        <f t="shared" si="17"/>
        <v>63650.389999999985</v>
      </c>
      <c r="BH9" s="49">
        <v>23</v>
      </c>
      <c r="BI9" s="39">
        <v>64920.24</v>
      </c>
      <c r="BJ9" s="39">
        <v>64920.24</v>
      </c>
      <c r="BK9" s="49">
        <v>42.95</v>
      </c>
      <c r="BL9" s="49"/>
      <c r="BM9" s="38">
        <f t="shared" si="18"/>
        <v>-15.000000000000007</v>
      </c>
      <c r="BN9" s="39">
        <f t="shared" si="19"/>
        <v>63650.38999999998</v>
      </c>
      <c r="BO9" s="4">
        <f t="shared" si="20"/>
        <v>111.55</v>
      </c>
      <c r="BP9" s="4">
        <f t="shared" si="20"/>
        <v>314863.14999999997</v>
      </c>
      <c r="BQ9" s="6">
        <f t="shared" si="21"/>
        <v>316133</v>
      </c>
      <c r="BR9" s="6">
        <f t="shared" si="22"/>
        <v>63650.389999999956</v>
      </c>
      <c r="BT9" s="49" t="s">
        <v>66</v>
      </c>
      <c r="BU9" s="49">
        <f>B9+B10+B12</f>
        <v>1</v>
      </c>
      <c r="BV9" s="49">
        <f>C9+C10+C12</f>
        <v>254381.9</v>
      </c>
      <c r="BW9" s="49">
        <f>BO9+BO10+BO12</f>
        <v>400.55</v>
      </c>
      <c r="BX9" s="49">
        <f>BP9+BP10+BP12</f>
        <v>1228757.5</v>
      </c>
      <c r="BY9" s="49">
        <f>BQ9+BQ10+BQ12</f>
        <v>1086704.24</v>
      </c>
      <c r="BZ9" s="4">
        <f>BV9+BX9-BY9</f>
        <v>396435.1599999999</v>
      </c>
      <c r="CA9" s="49"/>
    </row>
    <row r="10" spans="1:79" s="32" customFormat="1" ht="12.75">
      <c r="A10" s="49" t="s">
        <v>4</v>
      </c>
      <c r="B10" s="49">
        <v>1</v>
      </c>
      <c r="C10" s="4">
        <v>54089.41</v>
      </c>
      <c r="D10" s="49"/>
      <c r="E10" s="49"/>
      <c r="F10" s="49">
        <v>41504.99</v>
      </c>
      <c r="G10" s="49">
        <v>1</v>
      </c>
      <c r="H10" s="49">
        <v>2351.75</v>
      </c>
      <c r="I10" s="49">
        <f t="shared" si="0"/>
        <v>0</v>
      </c>
      <c r="J10" s="39">
        <f t="shared" si="1"/>
        <v>12584.420000000006</v>
      </c>
      <c r="K10" s="49">
        <v>23</v>
      </c>
      <c r="L10" s="49">
        <v>56671.31</v>
      </c>
      <c r="M10" s="49"/>
      <c r="N10" s="49"/>
      <c r="O10" s="49"/>
      <c r="P10" s="49">
        <f t="shared" si="2"/>
        <v>23</v>
      </c>
      <c r="Q10" s="39">
        <f t="shared" si="3"/>
        <v>69255.73000000001</v>
      </c>
      <c r="R10" s="49">
        <v>19</v>
      </c>
      <c r="S10" s="49">
        <v>46815.43</v>
      </c>
      <c r="T10" s="49"/>
      <c r="U10" s="38">
        <v>23</v>
      </c>
      <c r="V10" s="38"/>
      <c r="W10" s="38">
        <f t="shared" si="4"/>
        <v>19</v>
      </c>
      <c r="X10" s="50">
        <f t="shared" si="5"/>
        <v>116071.16</v>
      </c>
      <c r="Y10" s="49"/>
      <c r="Z10" s="4">
        <f t="shared" si="6"/>
        <v>103486.73999999999</v>
      </c>
      <c r="AA10" s="49"/>
      <c r="AB10" s="38"/>
      <c r="AC10" s="38"/>
      <c r="AD10" s="38">
        <f t="shared" si="7"/>
        <v>19</v>
      </c>
      <c r="AE10" s="50">
        <f t="shared" si="8"/>
        <v>219557.9</v>
      </c>
      <c r="AF10" s="50"/>
      <c r="AG10" s="50"/>
      <c r="AH10" s="38">
        <f t="shared" si="9"/>
        <v>19</v>
      </c>
      <c r="AI10" s="50">
        <f t="shared" si="10"/>
        <v>219557.9</v>
      </c>
      <c r="AJ10" s="49">
        <f t="shared" si="11"/>
        <v>42</v>
      </c>
      <c r="AK10" s="49">
        <f t="shared" si="11"/>
        <v>206973.47999999998</v>
      </c>
      <c r="AL10" s="49">
        <f t="shared" si="11"/>
        <v>41504.99</v>
      </c>
      <c r="AM10" s="49"/>
      <c r="AN10" s="49"/>
      <c r="AO10" s="49"/>
      <c r="AP10" s="49">
        <v>5.5</v>
      </c>
      <c r="AQ10" s="49">
        <v>22461.14</v>
      </c>
      <c r="AR10" s="38">
        <f t="shared" si="12"/>
        <v>13.5</v>
      </c>
      <c r="AS10" s="50">
        <f t="shared" si="13"/>
        <v>219557.9</v>
      </c>
      <c r="AT10" s="49">
        <v>66</v>
      </c>
      <c r="AU10" s="49">
        <v>155215.6</v>
      </c>
      <c r="AV10" s="49">
        <v>30</v>
      </c>
      <c r="AW10" s="49">
        <v>70552.55</v>
      </c>
      <c r="AX10" s="38">
        <f t="shared" si="14"/>
        <v>49.5</v>
      </c>
      <c r="AY10" s="50">
        <f t="shared" si="15"/>
        <v>374773.5</v>
      </c>
      <c r="AZ10" s="50">
        <v>284</v>
      </c>
      <c r="BA10" s="49"/>
      <c r="BB10" s="49"/>
      <c r="BC10" s="39">
        <v>155214.81</v>
      </c>
      <c r="BD10" s="49">
        <v>26</v>
      </c>
      <c r="BE10" s="49">
        <v>61145.54</v>
      </c>
      <c r="BF10" s="51">
        <f t="shared" si="16"/>
        <v>23.5</v>
      </c>
      <c r="BG10" s="52">
        <f t="shared" si="17"/>
        <v>219558.69</v>
      </c>
      <c r="BH10" s="49">
        <v>46</v>
      </c>
      <c r="BI10" s="39">
        <v>108180.6</v>
      </c>
      <c r="BJ10" s="39">
        <v>54091.19</v>
      </c>
      <c r="BK10" s="49">
        <v>55</v>
      </c>
      <c r="BL10" s="49">
        <v>129346.36</v>
      </c>
      <c r="BM10" s="38">
        <f t="shared" si="18"/>
        <v>14.5</v>
      </c>
      <c r="BN10" s="39">
        <f t="shared" si="19"/>
        <v>273648.10000000003</v>
      </c>
      <c r="BO10" s="4">
        <f t="shared" si="20"/>
        <v>154</v>
      </c>
      <c r="BP10" s="4">
        <f t="shared" si="20"/>
        <v>470369.67999999993</v>
      </c>
      <c r="BQ10" s="6">
        <f t="shared" si="21"/>
        <v>250810.99</v>
      </c>
      <c r="BR10" s="6">
        <f t="shared" si="22"/>
        <v>273648.1</v>
      </c>
      <c r="BT10" s="49" t="s">
        <v>128</v>
      </c>
      <c r="BU10" s="49">
        <f>BU8+BU9</f>
        <v>15</v>
      </c>
      <c r="BV10" s="49">
        <f>BV8+BV9</f>
        <v>595112.0799999997</v>
      </c>
      <c r="BW10" s="49">
        <f>SUM(BW8:BW9)</f>
        <v>1171.55</v>
      </c>
      <c r="BX10" s="49">
        <f>SUM(BX8:BX9)</f>
        <v>4224016.89</v>
      </c>
      <c r="BY10" s="49">
        <f>SUM(BY8:BY9)</f>
        <v>2900656.71</v>
      </c>
      <c r="BZ10" s="49">
        <f>SUM(BZ8:BZ9)</f>
        <v>1918472.2599999993</v>
      </c>
      <c r="CA10" s="49"/>
    </row>
    <row r="11" spans="1:70" ht="12.75">
      <c r="A11" s="4" t="s">
        <v>5</v>
      </c>
      <c r="B11" s="4">
        <v>0</v>
      </c>
      <c r="C11" s="4">
        <v>123491.88999999974</v>
      </c>
      <c r="D11" s="4"/>
      <c r="E11" s="4"/>
      <c r="F11" s="4">
        <v>123491.89</v>
      </c>
      <c r="G11" s="4"/>
      <c r="H11" s="4"/>
      <c r="I11" s="4">
        <f t="shared" si="0"/>
        <v>0</v>
      </c>
      <c r="J11" s="6">
        <f t="shared" si="1"/>
        <v>-2.6193447411060333E-10</v>
      </c>
      <c r="K11" s="4">
        <v>46</v>
      </c>
      <c r="L11" s="4">
        <v>128653.91</v>
      </c>
      <c r="M11" s="4"/>
      <c r="N11" s="4">
        <v>31</v>
      </c>
      <c r="O11" s="4"/>
      <c r="P11" s="4">
        <f t="shared" si="2"/>
        <v>15</v>
      </c>
      <c r="Q11" s="6">
        <f t="shared" si="3"/>
        <v>128653.90999999974</v>
      </c>
      <c r="R11" s="4"/>
      <c r="S11" s="4"/>
      <c r="T11" s="4"/>
      <c r="U11" s="19">
        <v>15</v>
      </c>
      <c r="V11" s="19"/>
      <c r="W11" s="19">
        <f t="shared" si="4"/>
        <v>0</v>
      </c>
      <c r="X11" s="17">
        <f t="shared" si="5"/>
        <v>128653.90999999974</v>
      </c>
      <c r="Y11" s="4"/>
      <c r="Z11" s="4">
        <f t="shared" si="6"/>
        <v>128653.91</v>
      </c>
      <c r="AA11" s="4"/>
      <c r="AB11" s="19"/>
      <c r="AC11" s="19"/>
      <c r="AD11" s="19">
        <f t="shared" si="7"/>
        <v>0</v>
      </c>
      <c r="AE11" s="17">
        <f t="shared" si="8"/>
        <v>257307.81999999975</v>
      </c>
      <c r="AF11" s="17"/>
      <c r="AG11" s="17">
        <v>61745</v>
      </c>
      <c r="AH11" s="19">
        <f t="shared" si="9"/>
        <v>0</v>
      </c>
      <c r="AI11" s="17">
        <f t="shared" si="10"/>
        <v>195562.81999999975</v>
      </c>
      <c r="AJ11" s="4">
        <f t="shared" si="11"/>
        <v>46</v>
      </c>
      <c r="AK11" s="4">
        <f t="shared" si="11"/>
        <v>257307.82</v>
      </c>
      <c r="AL11" s="4">
        <f t="shared" si="11"/>
        <v>123491.89</v>
      </c>
      <c r="AM11" s="4">
        <v>23</v>
      </c>
      <c r="AN11" s="4">
        <v>61745.94</v>
      </c>
      <c r="AO11" s="4"/>
      <c r="AP11" s="4">
        <v>31</v>
      </c>
      <c r="AQ11" s="4"/>
      <c r="AR11" s="19">
        <f t="shared" si="12"/>
        <v>-8</v>
      </c>
      <c r="AS11" s="17">
        <f t="shared" si="13"/>
        <v>257308.75999999975</v>
      </c>
      <c r="AT11" s="4">
        <v>46</v>
      </c>
      <c r="AU11" s="4">
        <v>123491.89</v>
      </c>
      <c r="AV11" s="4">
        <v>45</v>
      </c>
      <c r="AW11" s="4"/>
      <c r="AX11" s="19">
        <f t="shared" si="14"/>
        <v>-7</v>
      </c>
      <c r="AY11" s="17">
        <f t="shared" si="15"/>
        <v>380800.64999999973</v>
      </c>
      <c r="AZ11" s="17">
        <v>337</v>
      </c>
      <c r="BA11" s="4">
        <v>46</v>
      </c>
      <c r="BB11" s="4">
        <v>123491.89</v>
      </c>
      <c r="BC11" s="6">
        <v>185238.22</v>
      </c>
      <c r="BD11" s="4">
        <v>46</v>
      </c>
      <c r="BE11" s="4"/>
      <c r="BF11" s="44">
        <f t="shared" si="16"/>
        <v>-7</v>
      </c>
      <c r="BG11" s="48">
        <f t="shared" si="17"/>
        <v>319054.3199999997</v>
      </c>
      <c r="BH11" s="4">
        <v>46</v>
      </c>
      <c r="BI11" s="6">
        <v>123491.89</v>
      </c>
      <c r="BJ11" s="6">
        <v>123491.89</v>
      </c>
      <c r="BK11" s="4">
        <v>62</v>
      </c>
      <c r="BL11" s="4"/>
      <c r="BM11" s="19">
        <f t="shared" si="18"/>
        <v>-23</v>
      </c>
      <c r="BN11" s="6">
        <f t="shared" si="19"/>
        <v>319054.3199999997</v>
      </c>
      <c r="BO11" s="4">
        <f t="shared" si="20"/>
        <v>207</v>
      </c>
      <c r="BP11" s="4">
        <f t="shared" si="20"/>
        <v>689529.43</v>
      </c>
      <c r="BQ11" s="6">
        <f t="shared" si="21"/>
        <v>493967</v>
      </c>
      <c r="BR11" s="6">
        <f t="shared" si="22"/>
        <v>319054.31999999983</v>
      </c>
    </row>
    <row r="12" spans="1:70" ht="12.75">
      <c r="A12" s="4" t="s">
        <v>6</v>
      </c>
      <c r="B12" s="4">
        <v>0</v>
      </c>
      <c r="C12" s="4">
        <v>135372.25</v>
      </c>
      <c r="D12" s="4"/>
      <c r="E12" s="4"/>
      <c r="F12" s="4">
        <v>135372.25</v>
      </c>
      <c r="G12" s="4"/>
      <c r="H12" s="4"/>
      <c r="I12" s="4">
        <f t="shared" si="0"/>
        <v>0</v>
      </c>
      <c r="J12" s="6">
        <f t="shared" si="1"/>
        <v>0</v>
      </c>
      <c r="K12" s="4"/>
      <c r="L12" s="4"/>
      <c r="M12" s="4"/>
      <c r="N12" s="4"/>
      <c r="O12" s="4"/>
      <c r="P12" s="4">
        <f t="shared" si="2"/>
        <v>0</v>
      </c>
      <c r="Q12" s="6">
        <f t="shared" si="3"/>
        <v>0</v>
      </c>
      <c r="R12" s="4"/>
      <c r="S12" s="4"/>
      <c r="T12" s="4"/>
      <c r="U12" s="38"/>
      <c r="V12" s="19"/>
      <c r="W12" s="19">
        <f t="shared" si="4"/>
        <v>0</v>
      </c>
      <c r="X12" s="17">
        <f t="shared" si="5"/>
        <v>0</v>
      </c>
      <c r="Y12" s="4"/>
      <c r="Z12" s="4">
        <f t="shared" si="6"/>
        <v>0</v>
      </c>
      <c r="AA12" s="4"/>
      <c r="AB12" s="19"/>
      <c r="AC12" s="19"/>
      <c r="AD12" s="19">
        <f t="shared" si="7"/>
        <v>0</v>
      </c>
      <c r="AE12" s="17">
        <f t="shared" si="8"/>
        <v>0</v>
      </c>
      <c r="AF12" s="17"/>
      <c r="AG12" s="17"/>
      <c r="AH12" s="19">
        <f t="shared" si="9"/>
        <v>0</v>
      </c>
      <c r="AI12" s="17">
        <f t="shared" si="10"/>
        <v>0</v>
      </c>
      <c r="AJ12" s="4">
        <f t="shared" si="11"/>
        <v>0</v>
      </c>
      <c r="AK12" s="4">
        <f t="shared" si="11"/>
        <v>0</v>
      </c>
      <c r="AL12" s="4">
        <f t="shared" si="11"/>
        <v>135372.25</v>
      </c>
      <c r="AM12" s="4">
        <v>10</v>
      </c>
      <c r="AN12" s="4">
        <v>32853.68</v>
      </c>
      <c r="AO12" s="4"/>
      <c r="AP12" s="4">
        <v>10</v>
      </c>
      <c r="AQ12" s="4"/>
      <c r="AR12" s="19">
        <f t="shared" si="12"/>
        <v>0</v>
      </c>
      <c r="AS12" s="17">
        <f t="shared" si="13"/>
        <v>32853.68</v>
      </c>
      <c r="AT12" s="4">
        <v>79</v>
      </c>
      <c r="AU12" s="4">
        <v>259544.07</v>
      </c>
      <c r="AV12" s="4">
        <v>45</v>
      </c>
      <c r="AW12" s="4"/>
      <c r="AX12" s="19">
        <f t="shared" si="14"/>
        <v>34</v>
      </c>
      <c r="AY12" s="17">
        <f t="shared" si="15"/>
        <v>292397.75</v>
      </c>
      <c r="AZ12" s="17">
        <v>350</v>
      </c>
      <c r="BA12" s="4"/>
      <c r="BB12" s="4"/>
      <c r="BC12" s="6">
        <v>368633.33</v>
      </c>
      <c r="BD12" s="4">
        <v>41</v>
      </c>
      <c r="BE12" s="4"/>
      <c r="BF12" s="44">
        <f t="shared" si="16"/>
        <v>-7</v>
      </c>
      <c r="BG12" s="48">
        <f t="shared" si="17"/>
        <v>-76235.58000000002</v>
      </c>
      <c r="BH12" s="4">
        <v>46</v>
      </c>
      <c r="BI12" s="6">
        <v>151126.92</v>
      </c>
      <c r="BJ12" s="6">
        <v>15754.67</v>
      </c>
      <c r="BK12" s="4">
        <v>48</v>
      </c>
      <c r="BL12" s="4"/>
      <c r="BM12" s="19">
        <f t="shared" si="18"/>
        <v>-9</v>
      </c>
      <c r="BN12" s="6">
        <f t="shared" si="19"/>
        <v>59136.67</v>
      </c>
      <c r="BO12" s="4">
        <f t="shared" si="20"/>
        <v>135</v>
      </c>
      <c r="BP12" s="4">
        <f t="shared" si="20"/>
        <v>443524.67000000004</v>
      </c>
      <c r="BQ12" s="6">
        <f t="shared" si="21"/>
        <v>519760.25</v>
      </c>
      <c r="BR12" s="6">
        <f t="shared" si="22"/>
        <v>59136.67000000004</v>
      </c>
    </row>
    <row r="13" spans="1:70" ht="12.75">
      <c r="A13" s="4" t="s">
        <v>43</v>
      </c>
      <c r="B13" s="4">
        <v>0</v>
      </c>
      <c r="C13" s="4">
        <v>147383.5700000001</v>
      </c>
      <c r="D13" s="4">
        <v>46</v>
      </c>
      <c r="E13" s="4">
        <v>152554.48</v>
      </c>
      <c r="F13" s="4">
        <v>147383.57</v>
      </c>
      <c r="G13" s="4">
        <v>46</v>
      </c>
      <c r="H13" s="4"/>
      <c r="I13" s="4">
        <f t="shared" si="0"/>
        <v>0</v>
      </c>
      <c r="J13" s="6">
        <f t="shared" si="1"/>
        <v>152554.4800000001</v>
      </c>
      <c r="K13" s="4">
        <v>69</v>
      </c>
      <c r="L13" s="4">
        <v>228831.72</v>
      </c>
      <c r="M13" s="4">
        <v>152554.48</v>
      </c>
      <c r="N13" s="4">
        <v>51.74</v>
      </c>
      <c r="O13" s="4"/>
      <c r="P13" s="4">
        <f t="shared" si="2"/>
        <v>17.259999999999998</v>
      </c>
      <c r="Q13" s="6">
        <f t="shared" si="3"/>
        <v>228831.72000000006</v>
      </c>
      <c r="R13" s="4"/>
      <c r="S13" s="4"/>
      <c r="T13" s="4"/>
      <c r="U13" s="19"/>
      <c r="V13" s="19"/>
      <c r="W13" s="19">
        <f t="shared" si="4"/>
        <v>17.259999999999998</v>
      </c>
      <c r="X13" s="17">
        <f t="shared" si="5"/>
        <v>228831.72000000006</v>
      </c>
      <c r="Y13" s="4"/>
      <c r="Z13" s="4">
        <f t="shared" si="6"/>
        <v>381386.2</v>
      </c>
      <c r="AA13" s="4"/>
      <c r="AB13" s="19"/>
      <c r="AC13" s="19"/>
      <c r="AD13" s="19">
        <f t="shared" si="7"/>
        <v>17.259999999999998</v>
      </c>
      <c r="AE13" s="17">
        <f t="shared" si="8"/>
        <v>610217.92</v>
      </c>
      <c r="AF13" s="17">
        <v>73696</v>
      </c>
      <c r="AG13" s="17"/>
      <c r="AH13" s="19">
        <f t="shared" si="9"/>
        <v>17.259999999999998</v>
      </c>
      <c r="AI13" s="17">
        <f t="shared" si="10"/>
        <v>536521.92</v>
      </c>
      <c r="AJ13" s="4">
        <f t="shared" si="11"/>
        <v>115</v>
      </c>
      <c r="AK13" s="4">
        <f t="shared" si="11"/>
        <v>762772.4</v>
      </c>
      <c r="AL13" s="4">
        <f t="shared" si="11"/>
        <v>299938.05000000005</v>
      </c>
      <c r="AM13" s="4"/>
      <c r="AN13" s="4"/>
      <c r="AO13" s="4"/>
      <c r="AP13" s="4">
        <v>8</v>
      </c>
      <c r="AQ13" s="4"/>
      <c r="AR13" s="19">
        <f t="shared" si="12"/>
        <v>9.259999999999998</v>
      </c>
      <c r="AS13" s="17">
        <f t="shared" si="13"/>
        <v>536521.92</v>
      </c>
      <c r="AT13" s="4">
        <v>102</v>
      </c>
      <c r="AU13" s="4">
        <v>326826.75</v>
      </c>
      <c r="AV13" s="4">
        <v>55</v>
      </c>
      <c r="AW13" s="4"/>
      <c r="AX13" s="19">
        <f t="shared" si="14"/>
        <v>56.25999999999999</v>
      </c>
      <c r="AY13" s="17">
        <f t="shared" si="15"/>
        <v>863348.67</v>
      </c>
      <c r="AZ13" s="26">
        <v>600</v>
      </c>
      <c r="BA13" s="4">
        <v>69</v>
      </c>
      <c r="BB13" s="4">
        <v>221088.68</v>
      </c>
      <c r="BC13" s="6">
        <v>326827.16</v>
      </c>
      <c r="BD13" s="19">
        <v>107</v>
      </c>
      <c r="BE13" s="19"/>
      <c r="BF13" s="44">
        <f t="shared" si="16"/>
        <v>18.25999999999999</v>
      </c>
      <c r="BG13" s="48">
        <f t="shared" si="17"/>
        <v>757610.1900000002</v>
      </c>
      <c r="BH13" s="4">
        <v>46</v>
      </c>
      <c r="BI13" s="6">
        <v>147392.43</v>
      </c>
      <c r="BJ13" s="6">
        <v>221097.54</v>
      </c>
      <c r="BK13" s="19">
        <v>55</v>
      </c>
      <c r="BL13" s="19"/>
      <c r="BM13" s="19">
        <f t="shared" si="18"/>
        <v>9.259999999999991</v>
      </c>
      <c r="BN13" s="6">
        <f t="shared" si="19"/>
        <v>683905.0800000001</v>
      </c>
      <c r="BO13" s="4">
        <f t="shared" si="20"/>
        <v>332</v>
      </c>
      <c r="BP13" s="4">
        <f t="shared" si="20"/>
        <v>1458080.2599999998</v>
      </c>
      <c r="BQ13" s="6">
        <f t="shared" si="21"/>
        <v>921558.75</v>
      </c>
      <c r="BR13" s="6">
        <f t="shared" si="22"/>
        <v>683905.0799999998</v>
      </c>
    </row>
    <row r="14" spans="1:70" ht="12.75">
      <c r="A14" s="2" t="s">
        <v>7</v>
      </c>
      <c r="B14" s="2">
        <f>SUM(B8:B13)</f>
        <v>15</v>
      </c>
      <c r="C14" s="2">
        <f>SUM(C8:C13)</f>
        <v>595112.0799999997</v>
      </c>
      <c r="D14" s="2">
        <f>D8+D9+D10+D11+D12+D13</f>
        <v>46</v>
      </c>
      <c r="E14" s="2">
        <f aca="true" t="shared" si="23" ref="E14:BG14">E8+E9+E10+E11+E12+E13</f>
        <v>152554.48</v>
      </c>
      <c r="F14" s="2">
        <f t="shared" si="23"/>
        <v>595112.0800000001</v>
      </c>
      <c r="G14" s="2">
        <f t="shared" si="23"/>
        <v>61</v>
      </c>
      <c r="H14" s="2">
        <f t="shared" si="23"/>
        <v>38572.35</v>
      </c>
      <c r="I14" s="2">
        <f t="shared" si="23"/>
        <v>0</v>
      </c>
      <c r="J14" s="2">
        <f t="shared" si="23"/>
        <v>152554.4799999997</v>
      </c>
      <c r="K14" s="2">
        <f t="shared" si="23"/>
        <v>184</v>
      </c>
      <c r="L14" s="2">
        <f t="shared" si="23"/>
        <v>538329.5</v>
      </c>
      <c r="M14" s="34">
        <f t="shared" si="23"/>
        <v>152554.48</v>
      </c>
      <c r="N14" s="2">
        <f t="shared" si="23"/>
        <v>115.42</v>
      </c>
      <c r="O14" s="2">
        <f t="shared" si="23"/>
        <v>0</v>
      </c>
      <c r="P14" s="2">
        <f t="shared" si="23"/>
        <v>68.58</v>
      </c>
      <c r="Q14" s="2">
        <f t="shared" si="23"/>
        <v>538329.4999999997</v>
      </c>
      <c r="R14" s="2">
        <f t="shared" si="23"/>
        <v>61</v>
      </c>
      <c r="S14" s="2">
        <f>SUM(S8:S13)</f>
        <v>160190.37</v>
      </c>
      <c r="T14" s="2">
        <f t="shared" si="23"/>
        <v>0</v>
      </c>
      <c r="U14" s="2">
        <f t="shared" si="23"/>
        <v>51.32</v>
      </c>
      <c r="V14" s="2">
        <f t="shared" si="23"/>
        <v>0</v>
      </c>
      <c r="W14" s="2">
        <f>SUM(W8:W13)</f>
        <v>78.25999999999999</v>
      </c>
      <c r="X14" s="34">
        <f>SUM(X8:X13)</f>
        <v>698519.8699999996</v>
      </c>
      <c r="Y14" s="2">
        <f t="shared" si="23"/>
        <v>0</v>
      </c>
      <c r="Z14" s="2">
        <f t="shared" si="23"/>
        <v>851074.3500000001</v>
      </c>
      <c r="AA14" s="2">
        <f t="shared" si="23"/>
        <v>0</v>
      </c>
      <c r="AB14" s="2">
        <f t="shared" si="23"/>
        <v>0</v>
      </c>
      <c r="AC14" s="2">
        <f t="shared" si="23"/>
        <v>0</v>
      </c>
      <c r="AD14" s="2">
        <f t="shared" si="23"/>
        <v>78.25999999999999</v>
      </c>
      <c r="AE14" s="34">
        <f t="shared" si="23"/>
        <v>1549594.2199999997</v>
      </c>
      <c r="AF14" s="34">
        <f t="shared" si="23"/>
        <v>99567</v>
      </c>
      <c r="AG14" s="34">
        <f t="shared" si="23"/>
        <v>126665</v>
      </c>
      <c r="AH14" s="2">
        <f t="shared" si="23"/>
        <v>78.25999999999999</v>
      </c>
      <c r="AI14" s="2">
        <f t="shared" si="23"/>
        <v>1323362.2199999997</v>
      </c>
      <c r="AJ14" s="2">
        <f t="shared" si="23"/>
        <v>291</v>
      </c>
      <c r="AK14" s="2">
        <f t="shared" si="23"/>
        <v>1702148.7000000002</v>
      </c>
      <c r="AL14" s="2">
        <f t="shared" si="23"/>
        <v>747666.56</v>
      </c>
      <c r="AM14" s="2">
        <f t="shared" si="23"/>
        <v>68.55</v>
      </c>
      <c r="AN14" s="2">
        <f t="shared" si="23"/>
        <v>191176.78999999998</v>
      </c>
      <c r="AO14" s="2">
        <f t="shared" si="23"/>
        <v>0</v>
      </c>
      <c r="AP14" s="2">
        <f t="shared" si="23"/>
        <v>98.5</v>
      </c>
      <c r="AQ14" s="2">
        <f t="shared" si="23"/>
        <v>22461.14</v>
      </c>
      <c r="AR14" s="2">
        <f>SUM(AR8:AR13)</f>
        <v>48.309999999999995</v>
      </c>
      <c r="AS14" s="2">
        <f t="shared" si="23"/>
        <v>1514539.0099999998</v>
      </c>
      <c r="AT14" s="2">
        <f t="shared" si="23"/>
        <v>384</v>
      </c>
      <c r="AU14" s="2">
        <f t="shared" si="23"/>
        <v>1111342.12</v>
      </c>
      <c r="AV14" s="2">
        <f t="shared" si="23"/>
        <v>230</v>
      </c>
      <c r="AW14" s="2">
        <f t="shared" si="23"/>
        <v>70552.55</v>
      </c>
      <c r="AX14" s="2">
        <f>SUM(AX8:AX13)</f>
        <v>202.31</v>
      </c>
      <c r="AY14" s="2">
        <f t="shared" si="23"/>
        <v>2625881.1299999994</v>
      </c>
      <c r="AZ14" s="34"/>
      <c r="BA14" s="2">
        <f t="shared" si="23"/>
        <v>221</v>
      </c>
      <c r="BB14" s="2">
        <f t="shared" si="23"/>
        <v>624237.2</v>
      </c>
      <c r="BC14" s="2">
        <f t="shared" si="23"/>
        <v>1302520.95</v>
      </c>
      <c r="BD14" s="2">
        <f t="shared" si="23"/>
        <v>293.6</v>
      </c>
      <c r="BE14" s="2">
        <f t="shared" si="23"/>
        <v>61145.54</v>
      </c>
      <c r="BF14" s="2">
        <f t="shared" si="23"/>
        <v>129.70999999999998</v>
      </c>
      <c r="BG14" s="2">
        <f t="shared" si="23"/>
        <v>1947597.3799999997</v>
      </c>
      <c r="BH14" s="2">
        <f aca="true" t="shared" si="24" ref="BH14:BN14">BH8+BH9+BH10+BH11+BH12+BH13</f>
        <v>207</v>
      </c>
      <c r="BI14" s="34">
        <f t="shared" si="24"/>
        <v>595112.0800000001</v>
      </c>
      <c r="BJ14" s="2">
        <f t="shared" si="24"/>
        <v>624237.2</v>
      </c>
      <c r="BK14" s="2">
        <f t="shared" si="24"/>
        <v>322.95</v>
      </c>
      <c r="BL14" s="2">
        <f t="shared" si="24"/>
        <v>129346.36</v>
      </c>
      <c r="BM14" s="2">
        <f t="shared" si="24"/>
        <v>13.759999999999984</v>
      </c>
      <c r="BN14" s="2">
        <f t="shared" si="24"/>
        <v>1918472.2599999998</v>
      </c>
      <c r="BO14" s="5">
        <f>SUM(BO8:BO13)</f>
        <v>1171.55</v>
      </c>
      <c r="BP14" s="5">
        <f>SUM(BP8:BP13)</f>
        <v>4224016.89</v>
      </c>
      <c r="BQ14" s="6">
        <f>SUM(BQ8:BQ13)</f>
        <v>2900656.71</v>
      </c>
      <c r="BR14" s="6">
        <f>SUM(BR8:BR13)</f>
        <v>1918472.2599999995</v>
      </c>
    </row>
    <row r="15" spans="3:59" ht="12.75">
      <c r="C15" s="8"/>
      <c r="D15" s="9"/>
      <c r="F15" s="14">
        <v>77504.66</v>
      </c>
      <c r="M15" s="14"/>
      <c r="T15" s="14"/>
      <c r="X15" s="7"/>
      <c r="Y15" s="18" t="s">
        <v>67</v>
      </c>
      <c r="Z15" s="14"/>
      <c r="AA15" s="18"/>
      <c r="AB15" s="18"/>
      <c r="AC15" s="18"/>
      <c r="AD15" s="18"/>
      <c r="AE15" s="26"/>
      <c r="AF15" s="9"/>
      <c r="AG15" s="9">
        <f>AF14+AG14</f>
        <v>226232</v>
      </c>
      <c r="AI15" s="7"/>
      <c r="AK15" s="14">
        <f>AK14+AU14+BB14+BI14</f>
        <v>4032840.1000000006</v>
      </c>
      <c r="AL15" s="14">
        <f>AL14+AO14+BJ14</f>
        <v>1371903.76</v>
      </c>
      <c r="AN15">
        <f>E14+L14+S14+Z14+AN14</f>
        <v>1893325.4900000002</v>
      </c>
      <c r="AO15" s="14"/>
      <c r="AS15" s="7"/>
      <c r="AU15" s="14"/>
      <c r="AY15" t="s">
        <v>87</v>
      </c>
      <c r="BG15" s="8"/>
    </row>
    <row r="16" spans="3:66" ht="12.75">
      <c r="C16" s="7"/>
      <c r="D16" s="7"/>
      <c r="F16">
        <f>F14-F15</f>
        <v>517607.42000000004</v>
      </c>
      <c r="M16" s="7"/>
      <c r="S16">
        <f>Q14+S14</f>
        <v>698519.8699999996</v>
      </c>
      <c r="T16" s="14"/>
      <c r="X16" s="7"/>
      <c r="AE16" s="7"/>
      <c r="AF16" s="7"/>
      <c r="AG16" s="7"/>
      <c r="AM16" s="7"/>
      <c r="AN16" t="s">
        <v>109</v>
      </c>
      <c r="AX16" s="4" t="s">
        <v>67</v>
      </c>
      <c r="AY16" s="6">
        <f>AY8+AY11+AY13</f>
        <v>1851191.6299999994</v>
      </c>
      <c r="AZ16" s="42"/>
      <c r="BC16" s="9">
        <v>302701</v>
      </c>
      <c r="BD16">
        <v>4</v>
      </c>
      <c r="BE16" s="7">
        <f aca="true" t="shared" si="25" ref="BE16:BE21">BC16-BC8</f>
        <v>144881.67</v>
      </c>
      <c r="BF16">
        <v>144881.67</v>
      </c>
      <c r="BG16" s="7">
        <f>BE16-BF16</f>
        <v>0</v>
      </c>
      <c r="BH16" s="7">
        <f aca="true" t="shared" si="26" ref="BH16:BH21">BF16+BG16</f>
        <v>144881.67</v>
      </c>
      <c r="BN16" t="s">
        <v>87</v>
      </c>
    </row>
    <row r="17" spans="18:67" ht="12.75">
      <c r="R17" t="s">
        <v>145</v>
      </c>
      <c r="T17" s="14"/>
      <c r="X17" s="7"/>
      <c r="AM17" s="7"/>
      <c r="AX17" s="4" t="s">
        <v>66</v>
      </c>
      <c r="AY17" s="6">
        <f>AY9+AY10+AY12</f>
        <v>774689.5</v>
      </c>
      <c r="AZ17" s="42"/>
      <c r="BC17" s="9">
        <v>251213</v>
      </c>
      <c r="BD17" t="s">
        <v>112</v>
      </c>
      <c r="BE17" s="7">
        <f t="shared" si="25"/>
        <v>142424.9</v>
      </c>
      <c r="BF17">
        <v>64920.24</v>
      </c>
      <c r="BG17" s="7">
        <f aca="true" t="shared" si="27" ref="BG17:BG22">BE17-BF17</f>
        <v>77504.66</v>
      </c>
      <c r="BH17" s="7">
        <f t="shared" si="26"/>
        <v>142424.9</v>
      </c>
      <c r="BN17" s="4" t="s">
        <v>67</v>
      </c>
      <c r="BO17" s="6">
        <f>BN8+BN11+BN13</f>
        <v>1522037.0999999996</v>
      </c>
    </row>
    <row r="18" spans="13:69" ht="12.75">
      <c r="M18" s="7"/>
      <c r="Q18" s="4" t="s">
        <v>124</v>
      </c>
      <c r="R18" s="66">
        <f>X8+X11+X13</f>
        <v>595033.1299999997</v>
      </c>
      <c r="S18" s="67"/>
      <c r="T18" s="14"/>
      <c r="AM18" s="7"/>
      <c r="AX18" s="4" t="s">
        <v>68</v>
      </c>
      <c r="AY18" s="6">
        <f>AY16+AY17</f>
        <v>2625881.1299999994</v>
      </c>
      <c r="AZ18" s="42"/>
      <c r="BC18" s="9">
        <v>209306</v>
      </c>
      <c r="BD18" t="s">
        <v>113</v>
      </c>
      <c r="BE18" s="7">
        <f t="shared" si="25"/>
        <v>54091.19</v>
      </c>
      <c r="BF18">
        <v>54091.19</v>
      </c>
      <c r="BG18" s="7">
        <f t="shared" si="27"/>
        <v>0</v>
      </c>
      <c r="BH18" s="7">
        <f t="shared" si="26"/>
        <v>54091.19</v>
      </c>
      <c r="BN18" s="4" t="s">
        <v>66</v>
      </c>
      <c r="BO18" s="6">
        <f>BN9+BN10+BN12</f>
        <v>396435.16</v>
      </c>
      <c r="BP18">
        <v>77504.66</v>
      </c>
      <c r="BQ18" t="s">
        <v>118</v>
      </c>
    </row>
    <row r="19" spans="1:68" ht="12.75">
      <c r="A19" s="27"/>
      <c r="B19" s="18"/>
      <c r="C19" s="18"/>
      <c r="Q19" s="4" t="s">
        <v>66</v>
      </c>
      <c r="R19" s="66">
        <f>X9+X10+X12</f>
        <v>103486.73999999999</v>
      </c>
      <c r="S19" s="67"/>
      <c r="T19" s="14"/>
      <c r="AM19" s="7"/>
      <c r="BC19" s="9">
        <v>314099</v>
      </c>
      <c r="BD19" t="s">
        <v>114</v>
      </c>
      <c r="BE19" s="7">
        <f t="shared" si="25"/>
        <v>128860.78</v>
      </c>
      <c r="BF19">
        <v>123491.89</v>
      </c>
      <c r="BG19" s="7">
        <f t="shared" si="27"/>
        <v>5368.889999999999</v>
      </c>
      <c r="BH19" s="7">
        <f t="shared" si="26"/>
        <v>128860.78</v>
      </c>
      <c r="BN19" s="4" t="s">
        <v>68</v>
      </c>
      <c r="BO19" s="6">
        <f>BO17+BO18</f>
        <v>1918472.2599999995</v>
      </c>
      <c r="BP19" s="7">
        <f>BO18-BP18</f>
        <v>318930.5</v>
      </c>
    </row>
    <row r="20" spans="17:67" ht="12.75">
      <c r="Q20" s="4" t="s">
        <v>68</v>
      </c>
      <c r="R20" s="66">
        <f>R18+R19</f>
        <v>698519.8699999996</v>
      </c>
      <c r="S20" s="67"/>
      <c r="T20" s="14"/>
      <c r="AM20" s="7"/>
      <c r="BC20" s="9">
        <v>384388</v>
      </c>
      <c r="BD20" t="s">
        <v>115</v>
      </c>
      <c r="BE20" s="7">
        <f t="shared" si="25"/>
        <v>15754.669999999984</v>
      </c>
      <c r="BF20">
        <v>15754.67</v>
      </c>
      <c r="BG20" s="7">
        <f t="shared" si="27"/>
        <v>-1.6370904631912708E-11</v>
      </c>
      <c r="BH20" s="7">
        <f t="shared" si="26"/>
        <v>15754.669999999984</v>
      </c>
      <c r="BN20" s="4"/>
      <c r="BO20" s="6">
        <f>BO19-BP18</f>
        <v>1840967.5999999996</v>
      </c>
    </row>
    <row r="21" spans="20:60" ht="12.75">
      <c r="T21" s="14"/>
      <c r="AM21" s="7"/>
      <c r="BC21" s="9">
        <v>608795</v>
      </c>
      <c r="BD21" t="s">
        <v>116</v>
      </c>
      <c r="BE21" s="7">
        <f t="shared" si="25"/>
        <v>281967.84</v>
      </c>
      <c r="BF21">
        <f>221088.68+8.86</f>
        <v>221097.53999999998</v>
      </c>
      <c r="BG21" s="7">
        <f t="shared" si="27"/>
        <v>60870.30000000005</v>
      </c>
      <c r="BH21" s="7">
        <f t="shared" si="26"/>
        <v>281967.84</v>
      </c>
    </row>
    <row r="22" spans="22:60" ht="12.75">
      <c r="V22" s="18"/>
      <c r="W22" s="18"/>
      <c r="X22" s="18"/>
      <c r="Y22" s="18"/>
      <c r="Z22" s="18"/>
      <c r="AM22" s="7"/>
      <c r="BC22" s="7">
        <f>SUM(BC16:BC21)</f>
        <v>2070502</v>
      </c>
      <c r="BE22" s="7">
        <f>SUM(BE16:BE21)</f>
        <v>767981.05</v>
      </c>
      <c r="BF22">
        <f>SUM(BF16:BF21)</f>
        <v>624237.2</v>
      </c>
      <c r="BG22" s="7">
        <f t="shared" si="27"/>
        <v>143743.8500000001</v>
      </c>
      <c r="BH22" s="7">
        <f>SUM(BH16:BH21)</f>
        <v>767981.05</v>
      </c>
    </row>
    <row r="23" spans="22:60" ht="12.75">
      <c r="V23" s="18"/>
      <c r="W23" s="18"/>
      <c r="X23" s="18"/>
      <c r="Y23" s="18"/>
      <c r="Z23" s="18"/>
      <c r="AE23" t="s">
        <v>83</v>
      </c>
      <c r="BH23" s="7"/>
    </row>
    <row r="24" spans="22:31" ht="12.75">
      <c r="V24" s="18"/>
      <c r="W24" s="18"/>
      <c r="X24" s="18"/>
      <c r="Y24" s="18"/>
      <c r="Z24" s="18"/>
      <c r="AE24" t="s">
        <v>84</v>
      </c>
    </row>
  </sheetData>
  <sheetProtection/>
  <mergeCells count="30">
    <mergeCell ref="BO5:BO7"/>
    <mergeCell ref="BW6:BX6"/>
    <mergeCell ref="BU6:BV6"/>
    <mergeCell ref="BZ6:CA6"/>
    <mergeCell ref="BQ5:BQ7"/>
    <mergeCell ref="BR5:BR7"/>
    <mergeCell ref="BP5:BP7"/>
    <mergeCell ref="Y5:AC5"/>
    <mergeCell ref="BH5:BL5"/>
    <mergeCell ref="BM5:BN6"/>
    <mergeCell ref="BK6:BL6"/>
    <mergeCell ref="AR5:AS6"/>
    <mergeCell ref="AZ5:AZ7"/>
    <mergeCell ref="BF5:BG6"/>
    <mergeCell ref="AT5:AW5"/>
    <mergeCell ref="BA5:BE5"/>
    <mergeCell ref="BD6:BE6"/>
    <mergeCell ref="AH5:AI6"/>
    <mergeCell ref="AM6:AN6"/>
    <mergeCell ref="AX5:AY6"/>
    <mergeCell ref="R20:S20"/>
    <mergeCell ref="I5:J6"/>
    <mergeCell ref="W5:X6"/>
    <mergeCell ref="AD5:AE6"/>
    <mergeCell ref="AJ5:AL5"/>
    <mergeCell ref="AM5:AQ5"/>
    <mergeCell ref="R18:S18"/>
    <mergeCell ref="R19:S19"/>
    <mergeCell ref="P5:Q6"/>
    <mergeCell ref="R5:V5"/>
  </mergeCells>
  <printOptions/>
  <pageMargins left="0.3937007874015748" right="0.15748031496062992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39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44" sqref="A44:J83"/>
    </sheetView>
  </sheetViews>
  <sheetFormatPr defaultColWidth="9.00390625" defaultRowHeight="12.75"/>
  <cols>
    <col min="1" max="1" width="17.00390625" style="0" customWidth="1"/>
    <col min="2" max="2" width="7.625" style="0" customWidth="1"/>
    <col min="3" max="3" width="10.625" style="0" customWidth="1"/>
    <col min="4" max="4" width="10.75390625" style="0" customWidth="1"/>
    <col min="5" max="5" width="11.375" style="0" customWidth="1"/>
    <col min="6" max="6" width="8.875" style="0" customWidth="1"/>
    <col min="7" max="7" width="15.875" style="0" hidden="1" customWidth="1"/>
    <col min="8" max="8" width="11.375" style="0" hidden="1" customWidth="1"/>
    <col min="9" max="13" width="11.375" style="0" customWidth="1"/>
    <col min="14" max="14" width="13.875" style="0" hidden="1" customWidth="1"/>
    <col min="15" max="15" width="9.00390625" style="0" hidden="1" customWidth="1"/>
    <col min="16" max="16" width="8.75390625" style="0" customWidth="1"/>
    <col min="17" max="20" width="13.125" style="0" customWidth="1"/>
    <col min="21" max="22" width="13.125" style="0" hidden="1" customWidth="1"/>
    <col min="23" max="25" width="13.125" style="0" customWidth="1"/>
    <col min="26" max="26" width="14.00390625" style="0" customWidth="1"/>
    <col min="27" max="30" width="13.125" style="0" customWidth="1"/>
    <col min="31" max="32" width="13.125" style="0" hidden="1" customWidth="1"/>
    <col min="33" max="35" width="13.125" style="0" customWidth="1"/>
    <col min="39" max="39" width="12.00390625" style="0" customWidth="1"/>
  </cols>
  <sheetData>
    <row r="2" spans="1:5" ht="15.75">
      <c r="A2" s="1" t="s">
        <v>133</v>
      </c>
      <c r="B2" s="1"/>
      <c r="C2" s="1"/>
      <c r="D2" s="1"/>
      <c r="E2" s="1"/>
    </row>
    <row r="3" spans="1:5" ht="15.75">
      <c r="A3" s="1" t="s">
        <v>0</v>
      </c>
      <c r="B3" s="1"/>
      <c r="C3" s="1"/>
      <c r="D3" s="1"/>
      <c r="E3" s="1"/>
    </row>
    <row r="4" ht="12.75">
      <c r="E4" t="s">
        <v>122</v>
      </c>
    </row>
    <row r="6" spans="1:35" ht="28.5" customHeight="1">
      <c r="A6" s="2"/>
      <c r="B6" s="99" t="s">
        <v>129</v>
      </c>
      <c r="C6" s="100"/>
      <c r="D6" s="24"/>
      <c r="E6" s="25" t="s">
        <v>134</v>
      </c>
      <c r="F6" s="25"/>
      <c r="G6" s="23" t="s">
        <v>19</v>
      </c>
      <c r="H6" s="13"/>
      <c r="I6" s="68" t="s">
        <v>135</v>
      </c>
      <c r="J6" s="69"/>
      <c r="K6" s="90" t="s">
        <v>137</v>
      </c>
      <c r="L6" s="77"/>
      <c r="M6" s="77"/>
      <c r="N6" s="77"/>
      <c r="O6" s="78"/>
      <c r="P6" s="68" t="s">
        <v>141</v>
      </c>
      <c r="Q6" s="69"/>
      <c r="R6" s="90" t="s">
        <v>143</v>
      </c>
      <c r="S6" s="77"/>
      <c r="T6" s="77"/>
      <c r="U6" s="77"/>
      <c r="V6" s="78"/>
      <c r="W6" s="68" t="s">
        <v>149</v>
      </c>
      <c r="X6" s="69"/>
      <c r="Y6" s="85" t="s">
        <v>130</v>
      </c>
      <c r="Z6" s="68" t="s">
        <v>149</v>
      </c>
      <c r="AA6" s="69"/>
      <c r="AB6" s="98"/>
      <c r="AC6" s="77"/>
      <c r="AD6" s="77"/>
      <c r="AE6" s="77"/>
      <c r="AF6" s="78"/>
      <c r="AG6" s="68" t="s">
        <v>150</v>
      </c>
      <c r="AH6" s="69"/>
      <c r="AI6" s="63"/>
    </row>
    <row r="7" spans="1:35" ht="12.75">
      <c r="A7" s="2" t="s">
        <v>1</v>
      </c>
      <c r="B7" s="21" t="s">
        <v>126</v>
      </c>
      <c r="C7" s="21" t="s">
        <v>10</v>
      </c>
      <c r="D7" s="20" t="s">
        <v>12</v>
      </c>
      <c r="E7" s="21"/>
      <c r="F7" s="21" t="s">
        <v>11</v>
      </c>
      <c r="G7" s="21" t="s">
        <v>17</v>
      </c>
      <c r="H7" s="21"/>
      <c r="I7" s="70"/>
      <c r="J7" s="71"/>
      <c r="K7" s="90" t="s">
        <v>139</v>
      </c>
      <c r="L7" s="91"/>
      <c r="M7" s="94" t="s">
        <v>130</v>
      </c>
      <c r="N7" s="96" t="s">
        <v>140</v>
      </c>
      <c r="O7" s="97"/>
      <c r="P7" s="70"/>
      <c r="Q7" s="71"/>
      <c r="R7" s="90" t="s">
        <v>139</v>
      </c>
      <c r="S7" s="91"/>
      <c r="T7" s="94" t="s">
        <v>130</v>
      </c>
      <c r="U7" s="96" t="s">
        <v>140</v>
      </c>
      <c r="V7" s="97"/>
      <c r="W7" s="70"/>
      <c r="X7" s="71"/>
      <c r="Y7" s="101"/>
      <c r="Z7" s="70"/>
      <c r="AA7" s="71"/>
      <c r="AB7" s="90" t="s">
        <v>139</v>
      </c>
      <c r="AC7" s="91"/>
      <c r="AD7" s="94" t="s">
        <v>130</v>
      </c>
      <c r="AE7" s="96" t="s">
        <v>140</v>
      </c>
      <c r="AF7" s="97"/>
      <c r="AG7" s="70"/>
      <c r="AH7" s="71"/>
      <c r="AI7" s="63"/>
    </row>
    <row r="8" spans="1:35" ht="12.75">
      <c r="A8" s="3"/>
      <c r="B8" s="3"/>
      <c r="C8" s="3"/>
      <c r="D8" s="2" t="s">
        <v>13</v>
      </c>
      <c r="E8" s="2" t="s">
        <v>10</v>
      </c>
      <c r="F8" s="2" t="s">
        <v>10</v>
      </c>
      <c r="G8" s="2" t="s">
        <v>13</v>
      </c>
      <c r="H8" s="2" t="s">
        <v>10</v>
      </c>
      <c r="I8" s="2" t="s">
        <v>13</v>
      </c>
      <c r="J8" s="2" t="s">
        <v>10</v>
      </c>
      <c r="K8" s="58" t="s">
        <v>126</v>
      </c>
      <c r="L8" s="58" t="s">
        <v>24</v>
      </c>
      <c r="M8" s="95"/>
      <c r="N8" s="58" t="s">
        <v>126</v>
      </c>
      <c r="O8" s="59" t="s">
        <v>138</v>
      </c>
      <c r="P8" s="2" t="s">
        <v>13</v>
      </c>
      <c r="Q8" s="2" t="s">
        <v>10</v>
      </c>
      <c r="R8" s="58" t="s">
        <v>126</v>
      </c>
      <c r="S8" s="58" t="s">
        <v>24</v>
      </c>
      <c r="T8" s="95"/>
      <c r="U8" s="58" t="s">
        <v>126</v>
      </c>
      <c r="V8" s="59" t="s">
        <v>138</v>
      </c>
      <c r="W8" s="2" t="s">
        <v>13</v>
      </c>
      <c r="X8" s="2" t="s">
        <v>10</v>
      </c>
      <c r="Y8" s="102"/>
      <c r="Z8" s="2" t="s">
        <v>13</v>
      </c>
      <c r="AA8" s="2" t="s">
        <v>10</v>
      </c>
      <c r="AB8" s="58" t="s">
        <v>126</v>
      </c>
      <c r="AC8" s="58" t="s">
        <v>24</v>
      </c>
      <c r="AD8" s="95"/>
      <c r="AE8" s="58" t="s">
        <v>126</v>
      </c>
      <c r="AF8" s="59" t="s">
        <v>138</v>
      </c>
      <c r="AG8" s="2" t="s">
        <v>13</v>
      </c>
      <c r="AH8" s="2" t="s">
        <v>10</v>
      </c>
      <c r="AI8" s="27"/>
    </row>
    <row r="9" spans="1:40" ht="12.75">
      <c r="A9" s="4" t="s">
        <v>2</v>
      </c>
      <c r="B9" s="4">
        <v>71.32</v>
      </c>
      <c r="C9" s="4">
        <v>0</v>
      </c>
      <c r="D9" s="4"/>
      <c r="E9" s="4"/>
      <c r="F9" s="4"/>
      <c r="G9" s="4">
        <v>48</v>
      </c>
      <c r="H9" s="4"/>
      <c r="I9" s="4">
        <f aca="true" t="shared" si="0" ref="I9:I14">B9+D9-G9</f>
        <v>23.319999999999993</v>
      </c>
      <c r="J9" s="6">
        <f aca="true" t="shared" si="1" ref="J9:J14">C9+E9-F9</f>
        <v>0</v>
      </c>
      <c r="K9" s="53"/>
      <c r="L9" s="53"/>
      <c r="M9" s="53"/>
      <c r="N9" s="53">
        <v>23.32</v>
      </c>
      <c r="O9" s="53"/>
      <c r="P9" s="4">
        <f aca="true" t="shared" si="2" ref="P9:P14">I9+K9-N9</f>
        <v>0</v>
      </c>
      <c r="Q9" s="6">
        <f aca="true" t="shared" si="3" ref="Q9:Q14">J9+L9-M9</f>
        <v>0</v>
      </c>
      <c r="R9" s="6"/>
      <c r="S9" s="6"/>
      <c r="T9" s="6"/>
      <c r="U9" s="6"/>
      <c r="V9" s="6">
        <f aca="true" t="shared" si="4" ref="V9:V14">E9+L9+S9</f>
        <v>0</v>
      </c>
      <c r="W9" s="6">
        <f aca="true" t="shared" si="5" ref="W9:W14">P9+R9-U9</f>
        <v>0</v>
      </c>
      <c r="X9" s="6">
        <f aca="true" t="shared" si="6" ref="X9:X14">Q9+S9-T9</f>
        <v>0</v>
      </c>
      <c r="Y9" s="6"/>
      <c r="Z9" s="6"/>
      <c r="AA9" s="6">
        <f aca="true" t="shared" si="7" ref="AA9:AA14">X9-Y9</f>
        <v>0</v>
      </c>
      <c r="AB9" s="6">
        <v>71.5</v>
      </c>
      <c r="AC9" s="6">
        <f aca="true" t="shared" si="8" ref="AC9:AC14">AB9*1288.4*1.18</f>
        <v>108702.308</v>
      </c>
      <c r="AD9" s="6">
        <v>91218.72</v>
      </c>
      <c r="AE9" s="6"/>
      <c r="AF9" s="6"/>
      <c r="AG9" s="6">
        <f aca="true" t="shared" si="9" ref="AG9:AG14">W9+AB9-AE9</f>
        <v>71.5</v>
      </c>
      <c r="AH9" s="6">
        <f aca="true" t="shared" si="10" ref="AH9:AH14">X9+AC9-AD9</f>
        <v>17483.588000000003</v>
      </c>
      <c r="AI9" s="65"/>
      <c r="AJ9" s="4"/>
      <c r="AK9" s="4" t="s">
        <v>13</v>
      </c>
      <c r="AL9" s="4" t="s">
        <v>24</v>
      </c>
      <c r="AM9" s="4" t="s">
        <v>130</v>
      </c>
      <c r="AN9" s="4"/>
    </row>
    <row r="10" spans="1:40" ht="12.75">
      <c r="A10" s="49" t="s">
        <v>3</v>
      </c>
      <c r="B10" s="49">
        <v>71.84</v>
      </c>
      <c r="C10" s="49">
        <v>0</v>
      </c>
      <c r="D10" s="49"/>
      <c r="E10" s="49"/>
      <c r="F10" s="49"/>
      <c r="G10" s="49">
        <v>56.5</v>
      </c>
      <c r="H10" s="49"/>
      <c r="I10" s="4">
        <f t="shared" si="0"/>
        <v>15.340000000000003</v>
      </c>
      <c r="J10" s="6">
        <f t="shared" si="1"/>
        <v>0</v>
      </c>
      <c r="K10" s="55">
        <f>33.16+36.88</f>
        <v>70.03999999999999</v>
      </c>
      <c r="L10" s="55">
        <f>K10*1288.4*1.18</f>
        <v>106482.65247999999</v>
      </c>
      <c r="M10" s="55"/>
      <c r="N10" s="55">
        <v>53.33</v>
      </c>
      <c r="O10" s="53"/>
      <c r="P10" s="4">
        <f t="shared" si="2"/>
        <v>32.05</v>
      </c>
      <c r="Q10" s="6">
        <f t="shared" si="3"/>
        <v>106482.65247999999</v>
      </c>
      <c r="R10" s="6">
        <v>18.5</v>
      </c>
      <c r="S10" s="6">
        <v>28125.77</v>
      </c>
      <c r="T10" s="6">
        <f>106482.65+1261.35</f>
        <v>107744</v>
      </c>
      <c r="U10" s="6"/>
      <c r="V10" s="6">
        <f t="shared" si="4"/>
        <v>134608.42247999998</v>
      </c>
      <c r="W10" s="6">
        <f t="shared" si="5"/>
        <v>50.55</v>
      </c>
      <c r="X10" s="6">
        <f t="shared" si="6"/>
        <v>26864.42247999998</v>
      </c>
      <c r="Y10" s="6">
        <v>26864.42</v>
      </c>
      <c r="Z10" s="6"/>
      <c r="AA10" s="6">
        <f t="shared" si="7"/>
        <v>0.002479999981005676</v>
      </c>
      <c r="AB10" s="6">
        <v>18.5</v>
      </c>
      <c r="AC10" s="6">
        <f t="shared" si="8"/>
        <v>28125.772</v>
      </c>
      <c r="AD10" s="6">
        <v>91218.72</v>
      </c>
      <c r="AE10" s="6"/>
      <c r="AF10" s="6"/>
      <c r="AG10" s="6">
        <f t="shared" si="9"/>
        <v>69.05</v>
      </c>
      <c r="AH10" s="6">
        <f t="shared" si="10"/>
        <v>-36228.525520000025</v>
      </c>
      <c r="AI10" s="65"/>
      <c r="AJ10" s="4" t="s">
        <v>124</v>
      </c>
      <c r="AK10" s="4">
        <f>D9+D12+D14</f>
        <v>68.44</v>
      </c>
      <c r="AL10" s="4">
        <f>E9+E12+E14</f>
        <v>104050.15328</v>
      </c>
      <c r="AM10" s="4">
        <f>F9+F12+F14</f>
        <v>0</v>
      </c>
      <c r="AN10" s="4">
        <f>AL10-AM10</f>
        <v>104050.15328</v>
      </c>
    </row>
    <row r="11" spans="1:40" ht="12.75">
      <c r="A11" s="49" t="s">
        <v>4</v>
      </c>
      <c r="B11" s="49">
        <v>70.32</v>
      </c>
      <c r="C11" s="49">
        <v>0</v>
      </c>
      <c r="D11" s="49">
        <v>35.6</v>
      </c>
      <c r="E11" s="39">
        <f>D11*1288.4*1.18</f>
        <v>54123.107200000006</v>
      </c>
      <c r="F11" s="49"/>
      <c r="G11" s="49">
        <v>60</v>
      </c>
      <c r="H11" s="49"/>
      <c r="I11" s="4">
        <f t="shared" si="0"/>
        <v>45.91999999999999</v>
      </c>
      <c r="J11" s="6">
        <f t="shared" si="1"/>
        <v>54123.107200000006</v>
      </c>
      <c r="K11" s="55"/>
      <c r="L11" s="55"/>
      <c r="M11" s="55">
        <v>54123.11</v>
      </c>
      <c r="N11" s="55">
        <v>40.29</v>
      </c>
      <c r="O11" s="53"/>
      <c r="P11" s="4">
        <f t="shared" si="2"/>
        <v>5.629999999999988</v>
      </c>
      <c r="Q11" s="6">
        <f t="shared" si="3"/>
        <v>-0.002799999994749669</v>
      </c>
      <c r="R11" s="6"/>
      <c r="S11" s="6"/>
      <c r="T11" s="6"/>
      <c r="U11" s="6"/>
      <c r="V11" s="6">
        <f t="shared" si="4"/>
        <v>54123.107200000006</v>
      </c>
      <c r="W11" s="6">
        <f t="shared" si="5"/>
        <v>5.629999999999988</v>
      </c>
      <c r="X11" s="6">
        <f t="shared" si="6"/>
        <v>-0.002799999994749669</v>
      </c>
      <c r="Y11" s="6"/>
      <c r="Z11" s="6"/>
      <c r="AA11" s="6">
        <f t="shared" si="7"/>
        <v>-0.002799999994749669</v>
      </c>
      <c r="AB11" s="6">
        <v>46</v>
      </c>
      <c r="AC11" s="6">
        <f t="shared" si="8"/>
        <v>69934.352</v>
      </c>
      <c r="AD11" s="6">
        <v>91218.72</v>
      </c>
      <c r="AE11" s="6"/>
      <c r="AF11" s="6"/>
      <c r="AG11" s="6">
        <f t="shared" si="9"/>
        <v>51.62999999999999</v>
      </c>
      <c r="AH11" s="6">
        <f t="shared" si="10"/>
        <v>-21284.370800000004</v>
      </c>
      <c r="AI11" s="65"/>
      <c r="AJ11" s="4" t="s">
        <v>66</v>
      </c>
      <c r="AK11" s="4">
        <f>D10+D11+D13</f>
        <v>66.76</v>
      </c>
      <c r="AL11" s="4">
        <f>E10+E11+E13</f>
        <v>101496.02912</v>
      </c>
      <c r="AM11" s="4">
        <f>F10+F11+F13</f>
        <v>0</v>
      </c>
      <c r="AN11" s="4">
        <f>AL11-AM11</f>
        <v>101496.02912</v>
      </c>
    </row>
    <row r="12" spans="1:40" ht="12.75">
      <c r="A12" s="4" t="s">
        <v>5</v>
      </c>
      <c r="B12" s="4">
        <v>71.2</v>
      </c>
      <c r="C12" s="4">
        <v>0</v>
      </c>
      <c r="D12" s="4">
        <v>34.18</v>
      </c>
      <c r="E12" s="39">
        <f>D12*1288.4*1.18</f>
        <v>51964.26416</v>
      </c>
      <c r="F12" s="4"/>
      <c r="G12" s="4">
        <v>62</v>
      </c>
      <c r="H12" s="4"/>
      <c r="I12" s="4">
        <f t="shared" si="0"/>
        <v>43.379999999999995</v>
      </c>
      <c r="J12" s="6">
        <f t="shared" si="1"/>
        <v>51964.26416</v>
      </c>
      <c r="K12" s="53"/>
      <c r="L12" s="53"/>
      <c r="M12" s="53">
        <v>51964.26</v>
      </c>
      <c r="N12" s="53">
        <v>31</v>
      </c>
      <c r="O12" s="53"/>
      <c r="P12" s="4">
        <f t="shared" si="2"/>
        <v>12.379999999999995</v>
      </c>
      <c r="Q12" s="6">
        <f t="shared" si="3"/>
        <v>0.004159999996772967</v>
      </c>
      <c r="R12" s="6"/>
      <c r="S12" s="6"/>
      <c r="T12" s="6"/>
      <c r="U12" s="6"/>
      <c r="V12" s="6">
        <f t="shared" si="4"/>
        <v>51964.26416</v>
      </c>
      <c r="W12" s="6">
        <f t="shared" si="5"/>
        <v>12.379999999999995</v>
      </c>
      <c r="X12" s="6">
        <f t="shared" si="6"/>
        <v>0.004159999996772967</v>
      </c>
      <c r="Y12" s="6"/>
      <c r="Z12" s="6"/>
      <c r="AA12" s="6">
        <f t="shared" si="7"/>
        <v>0.004159999996772967</v>
      </c>
      <c r="AB12" s="6">
        <v>34.5</v>
      </c>
      <c r="AC12" s="6">
        <f t="shared" si="8"/>
        <v>52450.764</v>
      </c>
      <c r="AD12" s="6">
        <v>91218.72</v>
      </c>
      <c r="AE12" s="6"/>
      <c r="AF12" s="6"/>
      <c r="AG12" s="6">
        <f t="shared" si="9"/>
        <v>46.879999999999995</v>
      </c>
      <c r="AH12" s="6">
        <f t="shared" si="10"/>
        <v>-38767.95184</v>
      </c>
      <c r="AI12" s="65"/>
      <c r="AJ12" s="4" t="s">
        <v>68</v>
      </c>
      <c r="AK12" s="4">
        <f>SUM(AK10:AK11)</f>
        <v>135.2</v>
      </c>
      <c r="AL12" s="4">
        <f>SUM(AL10:AL11)</f>
        <v>205546.1824</v>
      </c>
      <c r="AM12" s="4">
        <f>SUM(AM10:AM11)</f>
        <v>0</v>
      </c>
      <c r="AN12" s="4">
        <f>SUM(AN10:AN11)</f>
        <v>205546.1824</v>
      </c>
    </row>
    <row r="13" spans="1:35" ht="12.75">
      <c r="A13" s="4" t="s">
        <v>6</v>
      </c>
      <c r="B13" s="4">
        <v>93.7</v>
      </c>
      <c r="C13" s="4">
        <v>0</v>
      </c>
      <c r="D13" s="4">
        <v>31.16</v>
      </c>
      <c r="E13" s="39">
        <f>D13*1288.4*1.18</f>
        <v>47372.92192</v>
      </c>
      <c r="F13" s="4"/>
      <c r="G13" s="4">
        <v>84</v>
      </c>
      <c r="H13" s="4"/>
      <c r="I13" s="4">
        <f t="shared" si="0"/>
        <v>40.86</v>
      </c>
      <c r="J13" s="6">
        <f t="shared" si="1"/>
        <v>47372.92192</v>
      </c>
      <c r="K13" s="53">
        <f>33.05+36.3</f>
        <v>69.35</v>
      </c>
      <c r="L13" s="53">
        <f>K13*1288.4*1.18</f>
        <v>105433.63719999998</v>
      </c>
      <c r="M13" s="53">
        <v>47372.92</v>
      </c>
      <c r="N13" s="53">
        <v>62</v>
      </c>
      <c r="O13" s="53"/>
      <c r="P13" s="4">
        <f t="shared" si="2"/>
        <v>48.209999999999994</v>
      </c>
      <c r="Q13" s="6">
        <f t="shared" si="3"/>
        <v>105433.63911999999</v>
      </c>
      <c r="R13" s="6"/>
      <c r="S13" s="6"/>
      <c r="T13" s="6">
        <v>105433.64</v>
      </c>
      <c r="U13" s="6"/>
      <c r="V13" s="6">
        <f t="shared" si="4"/>
        <v>152806.55912</v>
      </c>
      <c r="W13" s="6">
        <f t="shared" si="5"/>
        <v>48.209999999999994</v>
      </c>
      <c r="X13" s="6">
        <f t="shared" si="6"/>
        <v>-0.0008800000068731606</v>
      </c>
      <c r="Y13" s="6"/>
      <c r="Z13" s="6"/>
      <c r="AA13" s="6">
        <f t="shared" si="7"/>
        <v>-0.0008800000068731606</v>
      </c>
      <c r="AB13" s="6">
        <v>61.52</v>
      </c>
      <c r="AC13" s="6">
        <f t="shared" si="8"/>
        <v>93529.59424000002</v>
      </c>
      <c r="AD13" s="6">
        <v>136828.08000000002</v>
      </c>
      <c r="AE13" s="6"/>
      <c r="AF13" s="6"/>
      <c r="AG13" s="6">
        <f t="shared" si="9"/>
        <v>109.72999999999999</v>
      </c>
      <c r="AH13" s="6">
        <f t="shared" si="10"/>
        <v>-43298.48664</v>
      </c>
      <c r="AI13" s="42"/>
    </row>
    <row r="14" spans="1:35" ht="12.75">
      <c r="A14" s="4" t="s">
        <v>43</v>
      </c>
      <c r="B14" s="4">
        <v>98.48</v>
      </c>
      <c r="C14" s="4">
        <v>30041.359999999986</v>
      </c>
      <c r="D14" s="4">
        <v>34.26</v>
      </c>
      <c r="E14" s="39">
        <f>D14*1288.4*1.18</f>
        <v>52085.88912</v>
      </c>
      <c r="F14" s="4"/>
      <c r="G14" s="4">
        <v>47</v>
      </c>
      <c r="H14" s="4"/>
      <c r="I14" s="4">
        <f t="shared" si="0"/>
        <v>85.74000000000001</v>
      </c>
      <c r="J14" s="6">
        <f t="shared" si="1"/>
        <v>82127.24912</v>
      </c>
      <c r="K14" s="53"/>
      <c r="L14" s="53"/>
      <c r="M14" s="53">
        <v>52085.89</v>
      </c>
      <c r="N14" s="53">
        <v>27</v>
      </c>
      <c r="O14" s="53"/>
      <c r="P14" s="4">
        <f t="shared" si="2"/>
        <v>58.74000000000001</v>
      </c>
      <c r="Q14" s="6">
        <f t="shared" si="3"/>
        <v>30041.359119999994</v>
      </c>
      <c r="R14" s="6"/>
      <c r="S14" s="6"/>
      <c r="T14" s="6">
        <v>30041.36</v>
      </c>
      <c r="U14" s="6"/>
      <c r="V14" s="6">
        <f t="shared" si="4"/>
        <v>52085.88912</v>
      </c>
      <c r="W14" s="6">
        <f t="shared" si="5"/>
        <v>58.74000000000001</v>
      </c>
      <c r="X14" s="6">
        <f t="shared" si="6"/>
        <v>-0.0008800000068731606</v>
      </c>
      <c r="Y14" s="6"/>
      <c r="Z14" s="6"/>
      <c r="AA14" s="6">
        <f t="shared" si="7"/>
        <v>-0.0008800000068731606</v>
      </c>
      <c r="AB14" s="6">
        <v>32.46</v>
      </c>
      <c r="AC14" s="6">
        <f t="shared" si="8"/>
        <v>49349.327520000006</v>
      </c>
      <c r="AD14" s="6">
        <v>60812.479999999996</v>
      </c>
      <c r="AE14" s="6"/>
      <c r="AF14" s="6"/>
      <c r="AG14" s="6">
        <f t="shared" si="9"/>
        <v>91.20000000000002</v>
      </c>
      <c r="AH14" s="6">
        <f t="shared" si="10"/>
        <v>-11463.153359999997</v>
      </c>
      <c r="AI14" s="42"/>
    </row>
    <row r="15" spans="1:35" ht="12.75">
      <c r="A15" s="2" t="s">
        <v>7</v>
      </c>
      <c r="B15" s="2">
        <f>SUM(B9:B14)</f>
        <v>476.86</v>
      </c>
      <c r="C15" s="2">
        <f>SUM(C9:C14)</f>
        <v>30041.359999999986</v>
      </c>
      <c r="D15" s="2">
        <f aca="true" t="shared" si="11" ref="D15:J15">D9+D10+D11+D12+D13+D14</f>
        <v>135.2</v>
      </c>
      <c r="E15" s="34">
        <f t="shared" si="11"/>
        <v>205546.18240000002</v>
      </c>
      <c r="F15" s="2">
        <f t="shared" si="11"/>
        <v>0</v>
      </c>
      <c r="G15" s="2">
        <f t="shared" si="11"/>
        <v>357.5</v>
      </c>
      <c r="H15" s="2">
        <f t="shared" si="11"/>
        <v>0</v>
      </c>
      <c r="I15" s="2">
        <f t="shared" si="11"/>
        <v>254.56</v>
      </c>
      <c r="J15" s="2">
        <f t="shared" si="11"/>
        <v>235587.5424</v>
      </c>
      <c r="K15" s="36">
        <f>SUM(K9:K14)</f>
        <v>139.39</v>
      </c>
      <c r="L15" s="36">
        <f>SUM(L9:L14)</f>
        <v>211916.28968</v>
      </c>
      <c r="M15" s="36">
        <f>SUM(M9:M14)</f>
        <v>205546.18</v>
      </c>
      <c r="N15" s="36">
        <f>SUM(N9:N14)</f>
        <v>236.94</v>
      </c>
      <c r="O15" s="53"/>
      <c r="P15" s="2">
        <f>P9+P10+P11+P12+P13+P14</f>
        <v>157.01</v>
      </c>
      <c r="Q15" s="34">
        <f>Q9+Q10+Q11+Q12+Q13+Q14</f>
        <v>241957.65207999997</v>
      </c>
      <c r="R15" s="34"/>
      <c r="S15" s="34"/>
      <c r="T15" s="34">
        <f>SUM(T9:T14)</f>
        <v>243219</v>
      </c>
      <c r="U15" s="34"/>
      <c r="V15" s="34"/>
      <c r="W15" s="34">
        <f aca="true" t="shared" si="12" ref="W15:AD15">SUM(W9:W14)</f>
        <v>175.51</v>
      </c>
      <c r="X15" s="34">
        <f t="shared" si="12"/>
        <v>26864.422079999968</v>
      </c>
      <c r="Y15" s="34">
        <f t="shared" si="12"/>
        <v>26864.42</v>
      </c>
      <c r="Z15" s="34">
        <f t="shared" si="12"/>
        <v>0</v>
      </c>
      <c r="AA15" s="34">
        <f t="shared" si="12"/>
        <v>0.002079999969282653</v>
      </c>
      <c r="AB15" s="34">
        <f t="shared" si="12"/>
        <v>264.48</v>
      </c>
      <c r="AC15" s="34">
        <f t="shared" si="12"/>
        <v>402092.11776000005</v>
      </c>
      <c r="AD15" s="34">
        <f t="shared" si="12"/>
        <v>562515.4400000001</v>
      </c>
      <c r="AE15" s="34"/>
      <c r="AF15" s="34"/>
      <c r="AG15" s="34">
        <f>SUM(AG9:AG14)</f>
        <v>439.99</v>
      </c>
      <c r="AH15" s="34">
        <f>SUM(AH9:AH14)</f>
        <v>-133558.90016000002</v>
      </c>
      <c r="AI15" s="64"/>
    </row>
    <row r="16" ht="12.75">
      <c r="M16" s="62"/>
    </row>
    <row r="17" ht="12.75">
      <c r="T17" s="7"/>
    </row>
    <row r="19" spans="1:5" ht="15.75">
      <c r="A19" s="1" t="s">
        <v>88</v>
      </c>
      <c r="B19" s="1"/>
      <c r="C19" s="1"/>
      <c r="D19" s="1"/>
      <c r="E19" s="1"/>
    </row>
    <row r="20" spans="1:5" ht="15.75">
      <c r="A20" s="1" t="s">
        <v>0</v>
      </c>
      <c r="B20" s="1"/>
      <c r="C20" s="1"/>
      <c r="D20" s="1"/>
      <c r="E20" s="1"/>
    </row>
    <row r="21" ht="12.75">
      <c r="E21" t="s">
        <v>123</v>
      </c>
    </row>
    <row r="23" spans="1:35" ht="12.75">
      <c r="A23" s="2"/>
      <c r="B23" s="11"/>
      <c r="C23" s="11"/>
      <c r="D23" s="24"/>
      <c r="E23" s="25" t="s">
        <v>134</v>
      </c>
      <c r="F23" s="25"/>
      <c r="G23" s="23" t="s">
        <v>19</v>
      </c>
      <c r="H23" s="13"/>
      <c r="I23" s="68" t="s">
        <v>135</v>
      </c>
      <c r="J23" s="69"/>
      <c r="K23" s="90" t="s">
        <v>137</v>
      </c>
      <c r="L23" s="75"/>
      <c r="M23" s="75"/>
      <c r="N23" s="75"/>
      <c r="O23" s="91"/>
      <c r="P23" s="68" t="s">
        <v>141</v>
      </c>
      <c r="Q23" s="69"/>
      <c r="R23" s="90" t="s">
        <v>143</v>
      </c>
      <c r="S23" s="75"/>
      <c r="T23" s="75"/>
      <c r="U23" s="75"/>
      <c r="V23" s="91"/>
      <c r="W23" s="68" t="s">
        <v>141</v>
      </c>
      <c r="X23" s="69"/>
      <c r="Y23" s="85" t="s">
        <v>130</v>
      </c>
      <c r="Z23" s="68" t="s">
        <v>149</v>
      </c>
      <c r="AA23" s="69"/>
      <c r="AB23" s="98"/>
      <c r="AC23" s="75"/>
      <c r="AD23" s="75"/>
      <c r="AE23" s="75"/>
      <c r="AF23" s="91"/>
      <c r="AG23" s="68" t="s">
        <v>150</v>
      </c>
      <c r="AH23" s="69"/>
      <c r="AI23" s="63"/>
    </row>
    <row r="24" spans="1:35" ht="12.75">
      <c r="A24" s="2" t="s">
        <v>1</v>
      </c>
      <c r="B24" s="21"/>
      <c r="C24" s="21"/>
      <c r="D24" s="20" t="s">
        <v>12</v>
      </c>
      <c r="E24" s="21"/>
      <c r="F24" s="21" t="s">
        <v>11</v>
      </c>
      <c r="G24" s="21" t="s">
        <v>17</v>
      </c>
      <c r="H24" s="21"/>
      <c r="I24" s="70"/>
      <c r="J24" s="71"/>
      <c r="K24" s="90" t="s">
        <v>139</v>
      </c>
      <c r="L24" s="91"/>
      <c r="M24" s="92" t="s">
        <v>11</v>
      </c>
      <c r="N24" s="90" t="s">
        <v>140</v>
      </c>
      <c r="O24" s="91"/>
      <c r="P24" s="70"/>
      <c r="Q24" s="71"/>
      <c r="R24" s="90" t="s">
        <v>139</v>
      </c>
      <c r="S24" s="91"/>
      <c r="T24" s="92" t="s">
        <v>11</v>
      </c>
      <c r="U24" s="90" t="s">
        <v>140</v>
      </c>
      <c r="V24" s="91"/>
      <c r="W24" s="70"/>
      <c r="X24" s="71"/>
      <c r="Y24" s="86"/>
      <c r="Z24" s="70"/>
      <c r="AA24" s="71"/>
      <c r="AB24" s="90" t="s">
        <v>139</v>
      </c>
      <c r="AC24" s="91"/>
      <c r="AD24" s="92" t="s">
        <v>11</v>
      </c>
      <c r="AE24" s="90" t="s">
        <v>140</v>
      </c>
      <c r="AF24" s="91"/>
      <c r="AG24" s="70"/>
      <c r="AH24" s="71"/>
      <c r="AI24" s="63"/>
    </row>
    <row r="25" spans="1:35" ht="12.75">
      <c r="A25" s="3"/>
      <c r="B25" s="3"/>
      <c r="C25" s="3"/>
      <c r="D25" s="2" t="s">
        <v>13</v>
      </c>
      <c r="E25" s="2" t="s">
        <v>10</v>
      </c>
      <c r="F25" s="2" t="s">
        <v>10</v>
      </c>
      <c r="G25" s="2" t="s">
        <v>13</v>
      </c>
      <c r="H25" s="2" t="s">
        <v>10</v>
      </c>
      <c r="I25" s="2" t="s">
        <v>13</v>
      </c>
      <c r="J25" s="2" t="s">
        <v>10</v>
      </c>
      <c r="K25" s="54" t="s">
        <v>126</v>
      </c>
      <c r="L25" s="54" t="s">
        <v>24</v>
      </c>
      <c r="M25" s="93"/>
      <c r="N25" s="54" t="s">
        <v>126</v>
      </c>
      <c r="O25" s="60" t="s">
        <v>138</v>
      </c>
      <c r="P25" s="2" t="s">
        <v>13</v>
      </c>
      <c r="Q25" s="2" t="s">
        <v>10</v>
      </c>
      <c r="R25" s="54" t="s">
        <v>126</v>
      </c>
      <c r="S25" s="54" t="s">
        <v>24</v>
      </c>
      <c r="T25" s="93"/>
      <c r="U25" s="54" t="s">
        <v>126</v>
      </c>
      <c r="V25" s="60" t="s">
        <v>138</v>
      </c>
      <c r="W25" s="2" t="s">
        <v>13</v>
      </c>
      <c r="X25" s="2" t="s">
        <v>10</v>
      </c>
      <c r="Y25" s="87"/>
      <c r="Z25" s="2" t="s">
        <v>13</v>
      </c>
      <c r="AA25" s="2" t="s">
        <v>10</v>
      </c>
      <c r="AB25" s="54" t="s">
        <v>126</v>
      </c>
      <c r="AC25" s="54" t="s">
        <v>24</v>
      </c>
      <c r="AD25" s="93"/>
      <c r="AE25" s="54" t="s">
        <v>126</v>
      </c>
      <c r="AF25" s="60" t="s">
        <v>138</v>
      </c>
      <c r="AG25" s="2" t="s">
        <v>13</v>
      </c>
      <c r="AH25" s="2" t="s">
        <v>10</v>
      </c>
      <c r="AI25" s="27"/>
    </row>
    <row r="26" spans="1:35" ht="12.75">
      <c r="A26" s="4" t="s">
        <v>2</v>
      </c>
      <c r="B26" s="4">
        <v>71.32</v>
      </c>
      <c r="C26" s="4">
        <v>0</v>
      </c>
      <c r="D26" s="4"/>
      <c r="E26" s="4"/>
      <c r="F26" s="4"/>
      <c r="G26" s="4">
        <v>48</v>
      </c>
      <c r="H26" s="4"/>
      <c r="I26" s="4">
        <f aca="true" t="shared" si="13" ref="I26:I31">B26+D26-G26</f>
        <v>23.319999999999993</v>
      </c>
      <c r="J26" s="6">
        <f aca="true" t="shared" si="14" ref="J26:J31">C26+E26-F26</f>
        <v>0</v>
      </c>
      <c r="K26" s="33"/>
      <c r="L26" s="33"/>
      <c r="M26" s="33"/>
      <c r="N26" s="53">
        <v>23.32</v>
      </c>
      <c r="O26" s="33"/>
      <c r="P26" s="4">
        <f aca="true" t="shared" si="15" ref="P26:P31">I26+K26-N26</f>
        <v>0</v>
      </c>
      <c r="Q26" s="6">
        <f aca="true" t="shared" si="16" ref="Q26:Q31">J26+L26-M26</f>
        <v>0</v>
      </c>
      <c r="R26" s="6"/>
      <c r="S26" s="6"/>
      <c r="T26" s="6">
        <v>0</v>
      </c>
      <c r="U26" s="6"/>
      <c r="V26" s="6"/>
      <c r="W26" s="6">
        <f aca="true" t="shared" si="17" ref="W26:W31">P26+R26-U26</f>
        <v>0</v>
      </c>
      <c r="X26" s="6">
        <f aca="true" t="shared" si="18" ref="X26:X31">Q26+S26-T26</f>
        <v>0</v>
      </c>
      <c r="Y26" s="6"/>
      <c r="Z26" s="6">
        <v>0</v>
      </c>
      <c r="AA26" s="6">
        <f aca="true" t="shared" si="19" ref="AA26:AA31">X26-Y26</f>
        <v>0</v>
      </c>
      <c r="AB26" s="6">
        <v>71.5</v>
      </c>
      <c r="AC26" s="6">
        <f>AB26*1102.82</f>
        <v>78851.62999999999</v>
      </c>
      <c r="AD26" s="6">
        <v>66169.2</v>
      </c>
      <c r="AE26" s="6"/>
      <c r="AF26" s="6"/>
      <c r="AG26" s="6">
        <f aca="true" t="shared" si="20" ref="AG26:AG31">W26+AB26-AE26</f>
        <v>71.5</v>
      </c>
      <c r="AH26" s="6">
        <f aca="true" t="shared" si="21" ref="AH26:AH31">X26+AC26-AD26</f>
        <v>12682.429999999993</v>
      </c>
      <c r="AI26" s="42"/>
    </row>
    <row r="27" spans="1:35" ht="12.75">
      <c r="A27" s="49" t="s">
        <v>3</v>
      </c>
      <c r="B27" s="49">
        <v>71.84</v>
      </c>
      <c r="C27" s="49">
        <v>0</v>
      </c>
      <c r="D27" s="49"/>
      <c r="E27" s="49"/>
      <c r="F27" s="4"/>
      <c r="G27" s="49">
        <v>56.5</v>
      </c>
      <c r="H27" s="49"/>
      <c r="I27" s="4">
        <f t="shared" si="13"/>
        <v>15.340000000000003</v>
      </c>
      <c r="J27" s="6">
        <f t="shared" si="14"/>
        <v>0</v>
      </c>
      <c r="K27" s="57">
        <v>70.04</v>
      </c>
      <c r="L27" s="57">
        <v>93957.96</v>
      </c>
      <c r="M27" s="57"/>
      <c r="N27" s="55">
        <v>53.33</v>
      </c>
      <c r="O27" s="33"/>
      <c r="P27" s="4">
        <f t="shared" si="15"/>
        <v>32.05000000000001</v>
      </c>
      <c r="Q27" s="6">
        <f t="shared" si="16"/>
        <v>93957.96</v>
      </c>
      <c r="R27" s="6">
        <v>18.5</v>
      </c>
      <c r="S27" s="6">
        <v>24817.57</v>
      </c>
      <c r="T27" s="6">
        <v>92696.42</v>
      </c>
      <c r="U27" s="6"/>
      <c r="V27" s="6"/>
      <c r="W27" s="6">
        <f t="shared" si="17"/>
        <v>50.55000000000001</v>
      </c>
      <c r="X27" s="6">
        <f t="shared" si="18"/>
        <v>26079.11</v>
      </c>
      <c r="Y27" s="6">
        <v>26079.11</v>
      </c>
      <c r="Z27" s="6">
        <v>0</v>
      </c>
      <c r="AA27" s="6">
        <f t="shared" si="19"/>
        <v>0</v>
      </c>
      <c r="AB27" s="6">
        <v>18.5</v>
      </c>
      <c r="AC27" s="6">
        <f>AB27*1341.49</f>
        <v>24817.565</v>
      </c>
      <c r="AD27" s="6">
        <v>80489.4</v>
      </c>
      <c r="AE27" s="6"/>
      <c r="AF27" s="6"/>
      <c r="AG27" s="6">
        <f t="shared" si="20"/>
        <v>69.05000000000001</v>
      </c>
      <c r="AH27" s="6">
        <f t="shared" si="21"/>
        <v>-29592.72499999999</v>
      </c>
      <c r="AI27" s="42"/>
    </row>
    <row r="28" spans="1:39" ht="12.75">
      <c r="A28" s="49" t="s">
        <v>4</v>
      </c>
      <c r="B28" s="49">
        <v>70.32</v>
      </c>
      <c r="C28" s="49">
        <v>0</v>
      </c>
      <c r="D28" s="49">
        <v>35.6</v>
      </c>
      <c r="E28" s="39">
        <f>D28*864.15</f>
        <v>30763.74</v>
      </c>
      <c r="F28" s="4"/>
      <c r="G28" s="49">
        <v>60</v>
      </c>
      <c r="H28" s="49"/>
      <c r="I28" s="4">
        <f t="shared" si="13"/>
        <v>45.91999999999999</v>
      </c>
      <c r="J28" s="6">
        <f t="shared" si="14"/>
        <v>30763.74</v>
      </c>
      <c r="K28" s="57"/>
      <c r="L28" s="57"/>
      <c r="M28" s="57">
        <v>30763.74</v>
      </c>
      <c r="N28" s="55">
        <v>40.29</v>
      </c>
      <c r="O28" s="33"/>
      <c r="P28" s="4">
        <f t="shared" si="15"/>
        <v>5.629999999999988</v>
      </c>
      <c r="Q28" s="6">
        <f t="shared" si="16"/>
        <v>0</v>
      </c>
      <c r="R28" s="6"/>
      <c r="S28" s="6"/>
      <c r="T28" s="6"/>
      <c r="U28" s="6"/>
      <c r="V28" s="6"/>
      <c r="W28" s="6">
        <f t="shared" si="17"/>
        <v>5.629999999999988</v>
      </c>
      <c r="X28" s="6">
        <f t="shared" si="18"/>
        <v>0</v>
      </c>
      <c r="Y28" s="6"/>
      <c r="Z28" s="6">
        <v>0</v>
      </c>
      <c r="AA28" s="6">
        <f t="shared" si="19"/>
        <v>0</v>
      </c>
      <c r="AB28" s="6">
        <v>46</v>
      </c>
      <c r="AC28" s="6">
        <f>AB28*864.15</f>
        <v>39750.9</v>
      </c>
      <c r="AD28" s="6">
        <v>51849</v>
      </c>
      <c r="AE28" s="6"/>
      <c r="AF28" s="6"/>
      <c r="AG28" s="6">
        <f t="shared" si="20"/>
        <v>51.62999999999999</v>
      </c>
      <c r="AH28" s="6">
        <f t="shared" si="21"/>
        <v>-12098.099999999999</v>
      </c>
      <c r="AI28" s="42"/>
      <c r="AK28" t="s">
        <v>13</v>
      </c>
      <c r="AL28" t="s">
        <v>24</v>
      </c>
      <c r="AM28" t="s">
        <v>11</v>
      </c>
    </row>
    <row r="29" spans="1:40" ht="12.75">
      <c r="A29" s="4" t="s">
        <v>5</v>
      </c>
      <c r="B29" s="4">
        <v>71.2</v>
      </c>
      <c r="C29" s="4">
        <v>0</v>
      </c>
      <c r="D29" s="4">
        <v>34.18</v>
      </c>
      <c r="E29" s="6">
        <f>D29*1201.58</f>
        <v>41070.0044</v>
      </c>
      <c r="F29" s="4"/>
      <c r="G29" s="4">
        <v>62</v>
      </c>
      <c r="H29" s="4"/>
      <c r="I29" s="4">
        <f t="shared" si="13"/>
        <v>43.379999999999995</v>
      </c>
      <c r="J29" s="6">
        <f t="shared" si="14"/>
        <v>41070.0044</v>
      </c>
      <c r="K29" s="33"/>
      <c r="L29" s="33"/>
      <c r="M29" s="33">
        <v>41070</v>
      </c>
      <c r="N29" s="53">
        <v>31</v>
      </c>
      <c r="O29" s="33"/>
      <c r="P29" s="4">
        <f t="shared" si="15"/>
        <v>12.379999999999995</v>
      </c>
      <c r="Q29" s="6">
        <f t="shared" si="16"/>
        <v>0.004399999997986015</v>
      </c>
      <c r="R29" s="6"/>
      <c r="S29" s="6"/>
      <c r="T29" s="6"/>
      <c r="U29" s="6"/>
      <c r="V29" s="6"/>
      <c r="W29" s="6">
        <f t="shared" si="17"/>
        <v>12.379999999999995</v>
      </c>
      <c r="X29" s="6">
        <f t="shared" si="18"/>
        <v>0.004399999997986015</v>
      </c>
      <c r="Y29" s="6"/>
      <c r="Z29" s="6">
        <v>0</v>
      </c>
      <c r="AA29" s="6">
        <f t="shared" si="19"/>
        <v>0.004399999997986015</v>
      </c>
      <c r="AB29" s="6">
        <v>34.5</v>
      </c>
      <c r="AC29" s="6">
        <f>AB29*1201.58</f>
        <v>41454.509999999995</v>
      </c>
      <c r="AD29" s="6">
        <v>72094.8</v>
      </c>
      <c r="AE29" s="6"/>
      <c r="AF29" s="6"/>
      <c r="AG29" s="6">
        <f t="shared" si="20"/>
        <v>46.879999999999995</v>
      </c>
      <c r="AH29" s="6">
        <f t="shared" si="21"/>
        <v>-30640.28560000001</v>
      </c>
      <c r="AI29" s="42"/>
      <c r="AJ29" t="s">
        <v>67</v>
      </c>
      <c r="AK29">
        <f>D26+D29+D31</f>
        <v>68.44</v>
      </c>
      <c r="AL29" s="4">
        <f>E26+E29+E31</f>
        <v>100281.5624</v>
      </c>
      <c r="AM29" s="4">
        <f>F26+F29+F31</f>
        <v>0</v>
      </c>
      <c r="AN29" s="4">
        <f>AL29-AM29</f>
        <v>100281.5624</v>
      </c>
    </row>
    <row r="30" spans="1:40" ht="12.75">
      <c r="A30" s="4" t="s">
        <v>6</v>
      </c>
      <c r="B30" s="4">
        <v>93.7</v>
      </c>
      <c r="C30" s="4">
        <v>0</v>
      </c>
      <c r="D30" s="4">
        <v>31.16</v>
      </c>
      <c r="E30" s="6">
        <f>D30*1810.6</f>
        <v>56418.295999999995</v>
      </c>
      <c r="F30" s="4"/>
      <c r="G30" s="4">
        <v>84</v>
      </c>
      <c r="H30" s="4"/>
      <c r="I30" s="4">
        <f t="shared" si="13"/>
        <v>40.86</v>
      </c>
      <c r="J30" s="6">
        <f t="shared" si="14"/>
        <v>56418.295999999995</v>
      </c>
      <c r="K30" s="33">
        <v>69.35</v>
      </c>
      <c r="L30" s="33">
        <v>125565.11</v>
      </c>
      <c r="M30" s="33">
        <v>56418.3</v>
      </c>
      <c r="N30" s="53">
        <v>62</v>
      </c>
      <c r="O30" s="33"/>
      <c r="P30" s="4">
        <f t="shared" si="15"/>
        <v>48.209999999999994</v>
      </c>
      <c r="Q30" s="6">
        <f t="shared" si="16"/>
        <v>125565.10599999999</v>
      </c>
      <c r="R30" s="6"/>
      <c r="S30" s="6"/>
      <c r="T30" s="6">
        <v>125565.11</v>
      </c>
      <c r="U30" s="6"/>
      <c r="V30" s="6"/>
      <c r="W30" s="6">
        <f t="shared" si="17"/>
        <v>48.209999999999994</v>
      </c>
      <c r="X30" s="6">
        <f t="shared" si="18"/>
        <v>-0.0040000000153668225</v>
      </c>
      <c r="Y30" s="6"/>
      <c r="Z30" s="6">
        <v>0</v>
      </c>
      <c r="AA30" s="6">
        <f t="shared" si="19"/>
        <v>-0.0040000000153668225</v>
      </c>
      <c r="AB30" s="6">
        <v>61.52</v>
      </c>
      <c r="AC30" s="6">
        <f>AB30*1810.6</f>
        <v>111388.112</v>
      </c>
      <c r="AD30" s="6">
        <v>162954</v>
      </c>
      <c r="AE30" s="6"/>
      <c r="AF30" s="6"/>
      <c r="AG30" s="6">
        <f t="shared" si="20"/>
        <v>109.72999999999999</v>
      </c>
      <c r="AH30" s="6">
        <f t="shared" si="21"/>
        <v>-51565.89200000002</v>
      </c>
      <c r="AI30" s="42"/>
      <c r="AJ30" t="s">
        <v>66</v>
      </c>
      <c r="AK30">
        <f>D27+D28+D30</f>
        <v>66.76</v>
      </c>
      <c r="AL30" s="4">
        <f>E27+E28+E30</f>
        <v>87182.036</v>
      </c>
      <c r="AM30" s="4">
        <f>F27+F28+F30</f>
        <v>0</v>
      </c>
      <c r="AN30" s="4">
        <f>AL30-AM30</f>
        <v>87182.036</v>
      </c>
    </row>
    <row r="31" spans="1:40" ht="12.75">
      <c r="A31" s="4" t="s">
        <v>43</v>
      </c>
      <c r="B31" s="4">
        <v>98.48</v>
      </c>
      <c r="C31" s="4">
        <v>24957.47</v>
      </c>
      <c r="D31" s="4">
        <v>34.26</v>
      </c>
      <c r="E31" s="6">
        <f>D31*1728.3</f>
        <v>59211.558</v>
      </c>
      <c r="F31" s="4"/>
      <c r="G31" s="4">
        <v>47</v>
      </c>
      <c r="H31" s="4"/>
      <c r="I31" s="4">
        <f t="shared" si="13"/>
        <v>85.74000000000001</v>
      </c>
      <c r="J31" s="6">
        <f t="shared" si="14"/>
        <v>84169.02799999999</v>
      </c>
      <c r="K31" s="33"/>
      <c r="L31" s="33"/>
      <c r="M31" s="33">
        <v>59211.56</v>
      </c>
      <c r="N31" s="53">
        <v>27</v>
      </c>
      <c r="O31" s="33"/>
      <c r="P31" s="4">
        <f t="shared" si="15"/>
        <v>58.74000000000001</v>
      </c>
      <c r="Q31" s="6">
        <f t="shared" si="16"/>
        <v>24957.467999999993</v>
      </c>
      <c r="R31" s="6"/>
      <c r="S31" s="6"/>
      <c r="T31" s="6">
        <v>24957.47</v>
      </c>
      <c r="U31" s="6"/>
      <c r="V31" s="6"/>
      <c r="W31" s="6">
        <f t="shared" si="17"/>
        <v>58.74000000000001</v>
      </c>
      <c r="X31" s="6">
        <f t="shared" si="18"/>
        <v>-0.0020000000076834112</v>
      </c>
      <c r="Y31" s="6"/>
      <c r="Z31" s="6">
        <v>0</v>
      </c>
      <c r="AA31" s="6">
        <f t="shared" si="19"/>
        <v>-0.0020000000076834112</v>
      </c>
      <c r="AB31" s="6">
        <v>32.46</v>
      </c>
      <c r="AC31" s="6">
        <f>AB31*1728.3</f>
        <v>56100.618</v>
      </c>
      <c r="AD31" s="6">
        <v>69132</v>
      </c>
      <c r="AE31" s="6"/>
      <c r="AF31" s="6"/>
      <c r="AG31" s="6">
        <f t="shared" si="20"/>
        <v>91.20000000000002</v>
      </c>
      <c r="AH31" s="6">
        <f t="shared" si="21"/>
        <v>-13031.384000000005</v>
      </c>
      <c r="AI31" s="42"/>
      <c r="AJ31" t="s">
        <v>68</v>
      </c>
      <c r="AK31" s="4">
        <f>AK29+AK30</f>
        <v>135.2</v>
      </c>
      <c r="AL31" s="4">
        <f>SUM(AL29:AL30)</f>
        <v>187463.5984</v>
      </c>
      <c r="AM31" s="4">
        <f>SUM(AM29:AM30)</f>
        <v>0</v>
      </c>
      <c r="AN31" s="4">
        <f>SUM(AN29:AN30)</f>
        <v>187463.5984</v>
      </c>
    </row>
    <row r="32" spans="1:35" ht="15" customHeight="1">
      <c r="A32" s="2" t="s">
        <v>7</v>
      </c>
      <c r="B32" s="2">
        <f>SUM(B26:B31)</f>
        <v>476.86</v>
      </c>
      <c r="C32" s="2">
        <f>SUM(C26:C31)</f>
        <v>24957.47</v>
      </c>
      <c r="D32" s="2">
        <f aca="true" t="shared" si="22" ref="D32:J32">D26+D27+D28+D29+D30+D31</f>
        <v>135.2</v>
      </c>
      <c r="E32" s="34">
        <f t="shared" si="22"/>
        <v>187463.5984</v>
      </c>
      <c r="F32" s="2">
        <f t="shared" si="22"/>
        <v>0</v>
      </c>
      <c r="G32" s="2">
        <f t="shared" si="22"/>
        <v>357.5</v>
      </c>
      <c r="H32" s="2">
        <f t="shared" si="22"/>
        <v>0</v>
      </c>
      <c r="I32" s="2">
        <f t="shared" si="22"/>
        <v>254.56</v>
      </c>
      <c r="J32" s="34">
        <f t="shared" si="22"/>
        <v>212421.0684</v>
      </c>
      <c r="K32" s="56">
        <f>SUM(K26:K31)</f>
        <v>139.39</v>
      </c>
      <c r="L32" s="56">
        <f>SUM(L26:L31)</f>
        <v>219523.07</v>
      </c>
      <c r="M32" s="56">
        <f>SUM(M26:M31)</f>
        <v>187463.6</v>
      </c>
      <c r="N32" s="56">
        <f>SUM(N26:N31)</f>
        <v>236.94</v>
      </c>
      <c r="O32" s="33"/>
      <c r="P32" s="2">
        <f>SUM(P26:P31)</f>
        <v>157.01</v>
      </c>
      <c r="Q32" s="34">
        <f>Q26+Q27+Q28+Q29+Q30+Q31</f>
        <v>244480.53839999996</v>
      </c>
      <c r="R32" s="34"/>
      <c r="S32" s="34"/>
      <c r="T32" s="34">
        <f>SUM(T26:T31)</f>
        <v>243219</v>
      </c>
      <c r="U32" s="34"/>
      <c r="V32" s="34"/>
      <c r="W32" s="34">
        <f aca="true" t="shared" si="23" ref="W32:AD32">SUM(W26:W31)</f>
        <v>175.51</v>
      </c>
      <c r="X32" s="34">
        <f t="shared" si="23"/>
        <v>26079.108399999976</v>
      </c>
      <c r="Y32" s="34">
        <f t="shared" si="23"/>
        <v>26079.11</v>
      </c>
      <c r="Z32" s="34">
        <f t="shared" si="23"/>
        <v>0</v>
      </c>
      <c r="AA32" s="34">
        <f t="shared" si="23"/>
        <v>-0.0016000000250642188</v>
      </c>
      <c r="AB32" s="34">
        <f t="shared" si="23"/>
        <v>264.48</v>
      </c>
      <c r="AC32" s="34">
        <f t="shared" si="23"/>
        <v>352363.33499999996</v>
      </c>
      <c r="AD32" s="34">
        <f t="shared" si="23"/>
        <v>502688.39999999997</v>
      </c>
      <c r="AE32" s="34"/>
      <c r="AF32" s="34"/>
      <c r="AG32" s="34">
        <f>SUM(AG26:AG31)</f>
        <v>439.99</v>
      </c>
      <c r="AH32" s="34">
        <f>SUM(AH26:AH31)</f>
        <v>-124245.95660000003</v>
      </c>
      <c r="AI32" s="64"/>
    </row>
    <row r="33" ht="12.75">
      <c r="M33">
        <v>187463.6</v>
      </c>
    </row>
    <row r="34" spans="13:23" ht="12.75">
      <c r="M34">
        <f>M33-M32</f>
        <v>0</v>
      </c>
      <c r="T34" s="7"/>
      <c r="W34" t="s">
        <v>148</v>
      </c>
    </row>
    <row r="36" spans="23:28" ht="12.75">
      <c r="W36" s="4"/>
      <c r="X36" s="4" t="s">
        <v>146</v>
      </c>
      <c r="Y36" s="4"/>
      <c r="Z36" s="4"/>
      <c r="AA36" s="4"/>
      <c r="AB36" s="4" t="s">
        <v>123</v>
      </c>
    </row>
    <row r="37" spans="23:28" ht="12.75">
      <c r="W37" s="4" t="s">
        <v>67</v>
      </c>
      <c r="X37" s="6">
        <f>AC9+AC12+AC14</f>
        <v>210502.39952000004</v>
      </c>
      <c r="Y37" s="6"/>
      <c r="Z37" s="6"/>
      <c r="AA37" s="6"/>
      <c r="AB37" s="6">
        <f>AC26+AC29+AC31</f>
        <v>176406.75799999997</v>
      </c>
    </row>
    <row r="38" spans="23:28" ht="12.75">
      <c r="W38" s="4" t="s">
        <v>66</v>
      </c>
      <c r="X38" s="6">
        <f>AC10+AC11+AC13</f>
        <v>191589.71824000002</v>
      </c>
      <c r="Y38" s="6"/>
      <c r="Z38" s="6"/>
      <c r="AA38" s="6"/>
      <c r="AB38" s="6">
        <f>AC27+AC28+AC30</f>
        <v>175956.577</v>
      </c>
    </row>
    <row r="39" spans="23:28" ht="12.75">
      <c r="W39" s="4" t="s">
        <v>147</v>
      </c>
      <c r="X39" s="6">
        <f>SUM(X37:X38)</f>
        <v>402092.11776000005</v>
      </c>
      <c r="Y39" s="6"/>
      <c r="Z39" s="6"/>
      <c r="AA39" s="6"/>
      <c r="AB39" s="6">
        <f>SUM(AB37:AB38)</f>
        <v>352363.33499999996</v>
      </c>
    </row>
  </sheetData>
  <sheetProtection/>
  <mergeCells count="37">
    <mergeCell ref="Z6:AA7"/>
    <mergeCell ref="Z23:AA24"/>
    <mergeCell ref="U24:V24"/>
    <mergeCell ref="W6:X7"/>
    <mergeCell ref="R7:S7"/>
    <mergeCell ref="T7:T8"/>
    <mergeCell ref="U7:V7"/>
    <mergeCell ref="Y6:Y8"/>
    <mergeCell ref="Y23:Y25"/>
    <mergeCell ref="M7:M8"/>
    <mergeCell ref="R23:V23"/>
    <mergeCell ref="W23:X24"/>
    <mergeCell ref="I23:J24"/>
    <mergeCell ref="I6:J7"/>
    <mergeCell ref="N24:O24"/>
    <mergeCell ref="K24:L24"/>
    <mergeCell ref="M24:M25"/>
    <mergeCell ref="R24:S24"/>
    <mergeCell ref="T24:T25"/>
    <mergeCell ref="P23:Q24"/>
    <mergeCell ref="P6:Q7"/>
    <mergeCell ref="R6:V6"/>
    <mergeCell ref="AB6:AF6"/>
    <mergeCell ref="AB23:AF23"/>
    <mergeCell ref="B6:C6"/>
    <mergeCell ref="K6:O6"/>
    <mergeCell ref="K23:O23"/>
    <mergeCell ref="K7:L7"/>
    <mergeCell ref="N7:O7"/>
    <mergeCell ref="AG23:AH24"/>
    <mergeCell ref="AB24:AC24"/>
    <mergeCell ref="AD24:AD25"/>
    <mergeCell ref="AE24:AF24"/>
    <mergeCell ref="AG6:AH7"/>
    <mergeCell ref="AB7:AC7"/>
    <mergeCell ref="AD7:AD8"/>
    <mergeCell ref="AE7:A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6"/>
  <sheetViews>
    <sheetView workbookViewId="0" topLeftCell="S2">
      <selection activeCell="AH13" sqref="AH13"/>
    </sheetView>
  </sheetViews>
  <sheetFormatPr defaultColWidth="9.00390625" defaultRowHeight="12.75"/>
  <cols>
    <col min="1" max="1" width="16.875" style="0" customWidth="1"/>
    <col min="5" max="5" width="10.125" style="0" customWidth="1"/>
    <col min="13" max="13" width="10.875" style="0" customWidth="1"/>
    <col min="21" max="21" width="10.375" style="0" customWidth="1"/>
    <col min="23" max="23" width="10.75390625" style="0" customWidth="1"/>
    <col min="25" max="25" width="10.25390625" style="0" customWidth="1"/>
    <col min="27" max="27" width="10.375" style="0" customWidth="1"/>
    <col min="29" max="29" width="10.125" style="0" customWidth="1"/>
    <col min="31" max="31" width="10.875" style="0" customWidth="1"/>
    <col min="33" max="33" width="10.75390625" style="0" customWidth="1"/>
    <col min="35" max="35" width="11.375" style="0" customWidth="1"/>
  </cols>
  <sheetData>
    <row r="1" spans="1:3" ht="15.75">
      <c r="A1" s="1" t="s">
        <v>9</v>
      </c>
      <c r="B1" s="1"/>
      <c r="C1" s="1"/>
    </row>
    <row r="2" spans="1:3" ht="15.75">
      <c r="A2" s="1" t="s">
        <v>0</v>
      </c>
      <c r="B2" s="1"/>
      <c r="C2" s="1"/>
    </row>
    <row r="5" spans="1:35" ht="12.75" customHeight="1">
      <c r="A5" s="2"/>
      <c r="B5" s="24"/>
      <c r="C5" s="25" t="s">
        <v>29</v>
      </c>
      <c r="D5" s="23" t="s">
        <v>19</v>
      </c>
      <c r="E5" s="13"/>
      <c r="F5" s="15" t="s">
        <v>30</v>
      </c>
      <c r="G5" s="22"/>
      <c r="H5" s="23"/>
      <c r="I5" s="13"/>
      <c r="J5" s="82" t="s">
        <v>31</v>
      </c>
      <c r="K5" s="83"/>
      <c r="L5" s="83"/>
      <c r="M5" s="84"/>
      <c r="N5" s="82" t="s">
        <v>32</v>
      </c>
      <c r="O5" s="83"/>
      <c r="P5" s="83"/>
      <c r="Q5" s="84"/>
      <c r="R5" s="83" t="s">
        <v>41</v>
      </c>
      <c r="S5" s="84"/>
      <c r="T5" s="75" t="s">
        <v>36</v>
      </c>
      <c r="U5" s="91"/>
      <c r="V5" s="77" t="s">
        <v>37</v>
      </c>
      <c r="W5" s="78"/>
      <c r="X5" s="77" t="s">
        <v>33</v>
      </c>
      <c r="Y5" s="78"/>
      <c r="Z5" s="77" t="s">
        <v>38</v>
      </c>
      <c r="AA5" s="78"/>
      <c r="AB5" s="77" t="s">
        <v>40</v>
      </c>
      <c r="AC5" s="78"/>
      <c r="AD5" s="77" t="s">
        <v>28</v>
      </c>
      <c r="AE5" s="78"/>
      <c r="AF5" s="103" t="s">
        <v>25</v>
      </c>
      <c r="AG5" s="104"/>
      <c r="AH5" s="103" t="s">
        <v>34</v>
      </c>
      <c r="AI5" s="104"/>
    </row>
    <row r="6" spans="1:35" ht="12.75">
      <c r="A6" s="2" t="s">
        <v>1</v>
      </c>
      <c r="B6" s="20" t="s">
        <v>12</v>
      </c>
      <c r="C6" s="21"/>
      <c r="D6" s="80" t="s">
        <v>34</v>
      </c>
      <c r="E6" s="107"/>
      <c r="F6" s="5" t="s">
        <v>12</v>
      </c>
      <c r="G6" s="21"/>
      <c r="H6" s="80" t="s">
        <v>34</v>
      </c>
      <c r="I6" s="107"/>
      <c r="J6" s="5" t="s">
        <v>12</v>
      </c>
      <c r="K6" s="2"/>
      <c r="L6" s="2" t="s">
        <v>34</v>
      </c>
      <c r="M6" s="11"/>
      <c r="N6" s="5" t="s">
        <v>12</v>
      </c>
      <c r="O6" s="2"/>
      <c r="P6" s="2" t="s">
        <v>34</v>
      </c>
      <c r="Q6" s="11"/>
      <c r="R6" s="2" t="s">
        <v>34</v>
      </c>
      <c r="S6" s="16"/>
      <c r="T6" s="2" t="s">
        <v>34</v>
      </c>
      <c r="U6" s="16"/>
      <c r="V6" s="2" t="s">
        <v>34</v>
      </c>
      <c r="W6" s="16"/>
      <c r="X6" s="2" t="s">
        <v>34</v>
      </c>
      <c r="Y6" s="16"/>
      <c r="Z6" s="80" t="s">
        <v>34</v>
      </c>
      <c r="AA6" s="78"/>
      <c r="AB6" s="80" t="s">
        <v>34</v>
      </c>
      <c r="AC6" s="78"/>
      <c r="AD6" s="80" t="s">
        <v>34</v>
      </c>
      <c r="AE6" s="78"/>
      <c r="AF6" s="105"/>
      <c r="AG6" s="106"/>
      <c r="AH6" s="105"/>
      <c r="AI6" s="106"/>
    </row>
    <row r="7" spans="1:35" ht="12.75">
      <c r="A7" s="3"/>
      <c r="B7" s="2" t="s">
        <v>13</v>
      </c>
      <c r="C7" s="2" t="s">
        <v>10</v>
      </c>
      <c r="D7" s="2" t="s">
        <v>13</v>
      </c>
      <c r="E7" s="2" t="s">
        <v>10</v>
      </c>
      <c r="F7" s="2" t="s">
        <v>13</v>
      </c>
      <c r="G7" s="2" t="s">
        <v>10</v>
      </c>
      <c r="H7" s="2" t="s">
        <v>13</v>
      </c>
      <c r="I7" s="2" t="s">
        <v>10</v>
      </c>
      <c r="J7" s="2" t="s">
        <v>13</v>
      </c>
      <c r="K7" s="2" t="s">
        <v>10</v>
      </c>
      <c r="L7" s="2" t="s">
        <v>13</v>
      </c>
      <c r="M7" s="2" t="s">
        <v>10</v>
      </c>
      <c r="N7" s="2" t="s">
        <v>13</v>
      </c>
      <c r="O7" s="2" t="s">
        <v>10</v>
      </c>
      <c r="P7" s="11" t="s">
        <v>39</v>
      </c>
      <c r="Q7" s="11" t="s">
        <v>24</v>
      </c>
      <c r="R7" s="11" t="s">
        <v>13</v>
      </c>
      <c r="S7" s="11" t="s">
        <v>24</v>
      </c>
      <c r="T7" s="11" t="s">
        <v>13</v>
      </c>
      <c r="U7" s="11" t="s">
        <v>24</v>
      </c>
      <c r="V7" s="11" t="s">
        <v>13</v>
      </c>
      <c r="W7" s="11" t="s">
        <v>24</v>
      </c>
      <c r="X7" s="11" t="s">
        <v>13</v>
      </c>
      <c r="Y7" s="11" t="s">
        <v>24</v>
      </c>
      <c r="Z7" s="11" t="s">
        <v>39</v>
      </c>
      <c r="AA7" s="11" t="s">
        <v>24</v>
      </c>
      <c r="AB7" s="11" t="s">
        <v>39</v>
      </c>
      <c r="AC7" s="11" t="s">
        <v>24</v>
      </c>
      <c r="AD7" s="11" t="s">
        <v>39</v>
      </c>
      <c r="AE7" s="2" t="s">
        <v>24</v>
      </c>
      <c r="AF7" s="11" t="s">
        <v>39</v>
      </c>
      <c r="AG7" s="11" t="s">
        <v>24</v>
      </c>
      <c r="AH7" s="11" t="s">
        <v>39</v>
      </c>
      <c r="AI7" s="2" t="s">
        <v>24</v>
      </c>
    </row>
    <row r="8" spans="1:35" ht="12.75">
      <c r="A8" s="4" t="s">
        <v>2</v>
      </c>
      <c r="B8" s="4">
        <v>48</v>
      </c>
      <c r="C8" s="4">
        <v>118418.38</v>
      </c>
      <c r="D8" s="4">
        <v>78</v>
      </c>
      <c r="E8" s="4">
        <v>192187.88</v>
      </c>
      <c r="F8" s="4">
        <v>48</v>
      </c>
      <c r="G8" s="4">
        <v>118418.38</v>
      </c>
      <c r="H8" s="4">
        <v>66</v>
      </c>
      <c r="I8" s="4">
        <v>162620.52</v>
      </c>
      <c r="J8" s="4">
        <v>67</v>
      </c>
      <c r="K8" s="4">
        <v>165292.31</v>
      </c>
      <c r="L8" s="19">
        <v>48</v>
      </c>
      <c r="M8" s="19">
        <v>118269.47</v>
      </c>
      <c r="N8" s="4"/>
      <c r="O8" s="4"/>
      <c r="P8" s="19">
        <v>20</v>
      </c>
      <c r="Q8" s="19">
        <v>49278.94</v>
      </c>
      <c r="R8" s="19">
        <v>8</v>
      </c>
      <c r="S8" s="17">
        <v>19711.58</v>
      </c>
      <c r="T8" s="4"/>
      <c r="U8" s="4"/>
      <c r="V8" s="4"/>
      <c r="W8" s="4"/>
      <c r="X8" s="4">
        <v>8</v>
      </c>
      <c r="Y8" s="4">
        <v>19712</v>
      </c>
      <c r="Z8" s="4">
        <v>212</v>
      </c>
      <c r="AA8" s="4">
        <v>101021.83</v>
      </c>
      <c r="AB8" s="4">
        <v>265</v>
      </c>
      <c r="AC8" s="4">
        <v>137981.04</v>
      </c>
      <c r="AD8" s="4">
        <v>558</v>
      </c>
      <c r="AE8" s="4">
        <v>192187.88</v>
      </c>
      <c r="AF8" s="4">
        <f aca="true" t="shared" si="0" ref="AF8:AG13">B8+F8+J8+N8</f>
        <v>163</v>
      </c>
      <c r="AG8" s="4">
        <f t="shared" si="0"/>
        <v>402129.07</v>
      </c>
      <c r="AH8" s="4">
        <f aca="true" t="shared" si="1" ref="AH8:AI13">D8+H8+L8+P8+R8+T8+V8+X8+Z8+AB8+AD8</f>
        <v>1263</v>
      </c>
      <c r="AI8" s="6">
        <f t="shared" si="1"/>
        <v>992971.14</v>
      </c>
    </row>
    <row r="9" spans="1:35" ht="12.75">
      <c r="A9" s="4" t="s">
        <v>3</v>
      </c>
      <c r="B9" s="4">
        <v>70</v>
      </c>
      <c r="C9" s="4">
        <v>189173.83</v>
      </c>
      <c r="D9" s="4">
        <v>78</v>
      </c>
      <c r="E9" s="4">
        <v>210575.24</v>
      </c>
      <c r="F9" s="4">
        <v>47</v>
      </c>
      <c r="G9" s="4">
        <v>127016.71</v>
      </c>
      <c r="H9" s="4">
        <v>66</v>
      </c>
      <c r="I9" s="4">
        <v>178179.05</v>
      </c>
      <c r="J9" s="4">
        <v>47</v>
      </c>
      <c r="K9" s="4">
        <v>127016.71</v>
      </c>
      <c r="L9" s="19">
        <v>48</v>
      </c>
      <c r="M9" s="19">
        <v>129584.76</v>
      </c>
      <c r="N9" s="4"/>
      <c r="O9" s="4"/>
      <c r="P9" s="19">
        <v>20</v>
      </c>
      <c r="Q9" s="19">
        <v>53993.65</v>
      </c>
      <c r="R9" s="19">
        <v>8</v>
      </c>
      <c r="S9" s="17">
        <v>21597.46</v>
      </c>
      <c r="T9" s="4"/>
      <c r="U9" s="4"/>
      <c r="V9" s="4"/>
      <c r="W9" s="4"/>
      <c r="X9" s="4">
        <v>8</v>
      </c>
      <c r="Y9" s="4">
        <v>22191</v>
      </c>
      <c r="Z9" s="4">
        <v>41</v>
      </c>
      <c r="AA9" s="4">
        <v>110686.98</v>
      </c>
      <c r="AB9" s="4">
        <v>56</v>
      </c>
      <c r="AC9" s="4">
        <v>151182.23</v>
      </c>
      <c r="AD9" s="4">
        <v>78</v>
      </c>
      <c r="AE9" s="4">
        <v>210575.24</v>
      </c>
      <c r="AF9" s="4">
        <f t="shared" si="0"/>
        <v>164</v>
      </c>
      <c r="AG9" s="4">
        <f t="shared" si="0"/>
        <v>443207.25</v>
      </c>
      <c r="AH9" s="4">
        <f t="shared" si="1"/>
        <v>403</v>
      </c>
      <c r="AI9" s="6">
        <f t="shared" si="1"/>
        <v>1088565.6099999999</v>
      </c>
    </row>
    <row r="10" spans="1:35" ht="12.75">
      <c r="A10" s="4" t="s">
        <v>4</v>
      </c>
      <c r="B10" s="4">
        <v>71</v>
      </c>
      <c r="C10" s="4">
        <v>158444.74</v>
      </c>
      <c r="D10" s="4">
        <v>50</v>
      </c>
      <c r="E10" s="4">
        <v>111410.61</v>
      </c>
      <c r="F10" s="4">
        <v>20</v>
      </c>
      <c r="G10" s="4">
        <v>44632.32</v>
      </c>
      <c r="H10" s="4">
        <v>40</v>
      </c>
      <c r="I10" s="4">
        <v>89128.49</v>
      </c>
      <c r="J10" s="4">
        <v>41</v>
      </c>
      <c r="K10" s="4">
        <v>91496.26</v>
      </c>
      <c r="L10" s="19">
        <v>38</v>
      </c>
      <c r="M10" s="19">
        <v>84672.06</v>
      </c>
      <c r="N10" s="4"/>
      <c r="O10" s="4"/>
      <c r="P10" s="19">
        <v>20</v>
      </c>
      <c r="Q10" s="19">
        <v>44564.24</v>
      </c>
      <c r="R10" s="19">
        <v>8</v>
      </c>
      <c r="S10" s="17">
        <v>17825.7</v>
      </c>
      <c r="T10" s="4"/>
      <c r="U10" s="4"/>
      <c r="V10" s="4"/>
      <c r="W10" s="4"/>
      <c r="X10" s="4">
        <v>10</v>
      </c>
      <c r="Y10" s="4">
        <v>22282</v>
      </c>
      <c r="Z10" s="4">
        <v>30</v>
      </c>
      <c r="AA10" s="4">
        <v>66846.36</v>
      </c>
      <c r="AB10" s="4">
        <v>38</v>
      </c>
      <c r="AC10" s="4">
        <v>84672.06</v>
      </c>
      <c r="AD10" s="4">
        <v>50</v>
      </c>
      <c r="AE10" s="4">
        <v>111410.61</v>
      </c>
      <c r="AF10" s="4">
        <f t="shared" si="0"/>
        <v>132</v>
      </c>
      <c r="AG10" s="4">
        <f t="shared" si="0"/>
        <v>294573.32</v>
      </c>
      <c r="AH10" s="4">
        <f t="shared" si="1"/>
        <v>284</v>
      </c>
      <c r="AI10" s="6">
        <f t="shared" si="1"/>
        <v>632812.13</v>
      </c>
    </row>
    <row r="11" spans="1:35" ht="12.75">
      <c r="A11" s="4" t="s">
        <v>5</v>
      </c>
      <c r="B11" s="4">
        <v>79</v>
      </c>
      <c r="C11" s="4">
        <v>202593.16</v>
      </c>
      <c r="D11" s="4">
        <v>38</v>
      </c>
      <c r="E11" s="4">
        <v>97336.73</v>
      </c>
      <c r="F11" s="4">
        <v>117</v>
      </c>
      <c r="G11" s="4">
        <v>300043.04</v>
      </c>
      <c r="H11" s="4">
        <v>30</v>
      </c>
      <c r="I11" s="4">
        <v>76844.79</v>
      </c>
      <c r="J11" s="4">
        <v>23</v>
      </c>
      <c r="K11" s="4">
        <v>58982.82</v>
      </c>
      <c r="L11" s="19">
        <v>30</v>
      </c>
      <c r="M11" s="19">
        <v>76844.79</v>
      </c>
      <c r="N11" s="4"/>
      <c r="O11" s="4"/>
      <c r="P11" s="19">
        <v>28</v>
      </c>
      <c r="Q11" s="19">
        <v>71722</v>
      </c>
      <c r="R11" s="19"/>
      <c r="S11" s="17"/>
      <c r="T11" s="4"/>
      <c r="U11" s="4"/>
      <c r="V11" s="4"/>
      <c r="W11" s="4"/>
      <c r="X11" s="4">
        <v>30</v>
      </c>
      <c r="Y11" s="4">
        <v>76845</v>
      </c>
      <c r="Z11" s="4">
        <v>30</v>
      </c>
      <c r="AA11" s="4">
        <v>76844.79</v>
      </c>
      <c r="AB11" s="4">
        <v>30</v>
      </c>
      <c r="AC11" s="4">
        <v>76844.79</v>
      </c>
      <c r="AD11" s="4">
        <v>42</v>
      </c>
      <c r="AE11" s="4">
        <v>107582.71</v>
      </c>
      <c r="AF11" s="4">
        <f t="shared" si="0"/>
        <v>219</v>
      </c>
      <c r="AG11" s="4">
        <f t="shared" si="0"/>
        <v>561619.0199999999</v>
      </c>
      <c r="AH11" s="4">
        <f t="shared" si="1"/>
        <v>258</v>
      </c>
      <c r="AI11" s="6">
        <f t="shared" si="1"/>
        <v>660865.6</v>
      </c>
    </row>
    <row r="12" spans="1:35" ht="12.75">
      <c r="A12" s="4" t="s">
        <v>6</v>
      </c>
      <c r="B12" s="4">
        <v>36</v>
      </c>
      <c r="C12" s="4">
        <v>113948.35</v>
      </c>
      <c r="D12" s="4">
        <v>78</v>
      </c>
      <c r="E12" s="4">
        <v>246715.89</v>
      </c>
      <c r="F12" s="4">
        <v>30</v>
      </c>
      <c r="G12" s="4">
        <v>94956.96</v>
      </c>
      <c r="H12" s="4">
        <v>66</v>
      </c>
      <c r="I12" s="4">
        <v>208759.6</v>
      </c>
      <c r="J12" s="4">
        <v>58</v>
      </c>
      <c r="K12" s="4">
        <v>183583.46</v>
      </c>
      <c r="L12" s="19">
        <v>48</v>
      </c>
      <c r="M12" s="19">
        <v>151825.16</v>
      </c>
      <c r="N12" s="4">
        <v>26</v>
      </c>
      <c r="O12" s="4">
        <v>82296.03</v>
      </c>
      <c r="P12" s="19">
        <v>20</v>
      </c>
      <c r="Q12" s="19">
        <v>63260.48</v>
      </c>
      <c r="R12" s="19">
        <v>8</v>
      </c>
      <c r="S12" s="17">
        <v>25304.19</v>
      </c>
      <c r="T12" s="4"/>
      <c r="U12" s="4"/>
      <c r="V12" s="4"/>
      <c r="W12" s="4"/>
      <c r="X12" s="4">
        <v>8</v>
      </c>
      <c r="Y12" s="4">
        <v>25304</v>
      </c>
      <c r="Z12" s="4">
        <v>41</v>
      </c>
      <c r="AA12" s="4">
        <v>129683.99</v>
      </c>
      <c r="AB12" s="4">
        <v>56</v>
      </c>
      <c r="AC12" s="4">
        <v>177129.36</v>
      </c>
      <c r="AD12" s="4">
        <v>78</v>
      </c>
      <c r="AE12" s="4">
        <v>246715.89</v>
      </c>
      <c r="AF12" s="4">
        <f t="shared" si="0"/>
        <v>150</v>
      </c>
      <c r="AG12" s="4">
        <f t="shared" si="0"/>
        <v>474784.80000000005</v>
      </c>
      <c r="AH12" s="4">
        <f t="shared" si="1"/>
        <v>403</v>
      </c>
      <c r="AI12" s="6">
        <f t="shared" si="1"/>
        <v>1274698.56</v>
      </c>
    </row>
    <row r="13" spans="1:35" ht="12.75">
      <c r="A13" s="4" t="s">
        <v>35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19"/>
      <c r="M13" s="19"/>
      <c r="N13" s="4"/>
      <c r="O13" s="4"/>
      <c r="P13" s="19"/>
      <c r="Q13" s="19"/>
      <c r="R13" s="19"/>
      <c r="S13" s="17"/>
      <c r="T13" s="4">
        <v>75</v>
      </c>
      <c r="U13" s="4">
        <v>229301.22</v>
      </c>
      <c r="V13" s="4">
        <v>75</v>
      </c>
      <c r="W13" s="4">
        <v>229301.22</v>
      </c>
      <c r="X13" s="4">
        <v>45</v>
      </c>
      <c r="Y13" s="4">
        <v>137580</v>
      </c>
      <c r="Z13" s="19">
        <v>70</v>
      </c>
      <c r="AA13" s="19">
        <v>214014.47</v>
      </c>
      <c r="AB13" s="19">
        <v>85</v>
      </c>
      <c r="AC13" s="19">
        <v>259874.72</v>
      </c>
      <c r="AD13" s="19">
        <v>310</v>
      </c>
      <c r="AE13" s="4">
        <v>947778.38</v>
      </c>
      <c r="AF13" s="4">
        <f t="shared" si="0"/>
        <v>0</v>
      </c>
      <c r="AG13" s="4">
        <f t="shared" si="0"/>
        <v>0</v>
      </c>
      <c r="AH13" s="4">
        <f t="shared" si="1"/>
        <v>660</v>
      </c>
      <c r="AI13" s="6">
        <f t="shared" si="1"/>
        <v>2017850.0099999998</v>
      </c>
    </row>
    <row r="14" spans="1:35" ht="12.75">
      <c r="A14" s="2" t="s">
        <v>7</v>
      </c>
      <c r="B14" s="2">
        <f aca="true" t="shared" si="2" ref="B14:K14">SUM(B8:B12)</f>
        <v>304</v>
      </c>
      <c r="C14" s="15">
        <f t="shared" si="2"/>
        <v>782578.46</v>
      </c>
      <c r="D14" s="4">
        <f t="shared" si="2"/>
        <v>322</v>
      </c>
      <c r="E14" s="4">
        <f t="shared" si="2"/>
        <v>858226.35</v>
      </c>
      <c r="F14" s="4">
        <f t="shared" si="2"/>
        <v>262</v>
      </c>
      <c r="G14" s="15">
        <f t="shared" si="2"/>
        <v>685067.4099999999</v>
      </c>
      <c r="H14" s="4">
        <f t="shared" si="2"/>
        <v>268</v>
      </c>
      <c r="I14" s="4">
        <f t="shared" si="2"/>
        <v>715532.45</v>
      </c>
      <c r="J14" s="4">
        <f t="shared" si="2"/>
        <v>236</v>
      </c>
      <c r="K14" s="15">
        <f t="shared" si="2"/>
        <v>626371.56</v>
      </c>
      <c r="L14" s="19">
        <f>SUM(L9:L12)</f>
        <v>164</v>
      </c>
      <c r="M14" s="19">
        <f>SUM(M8:M12)</f>
        <v>561196.24</v>
      </c>
      <c r="N14" s="4">
        <f>SUM(N8:N12)</f>
        <v>26</v>
      </c>
      <c r="O14" s="15">
        <f>SUM(O8:O12)</f>
        <v>82296.03</v>
      </c>
      <c r="P14" s="19">
        <f>SUM(P9:P12)</f>
        <v>88</v>
      </c>
      <c r="Q14" s="19">
        <f>SUM(Q8:Q12)</f>
        <v>282819.31</v>
      </c>
      <c r="R14" s="19">
        <f>SUM(R8:R12)</f>
        <v>32</v>
      </c>
      <c r="S14" s="17">
        <f aca="true" t="shared" si="3" ref="S14:AI14">SUM(S8:S13)</f>
        <v>84438.93000000001</v>
      </c>
      <c r="T14" s="17">
        <f t="shared" si="3"/>
        <v>75</v>
      </c>
      <c r="U14" s="17">
        <f t="shared" si="3"/>
        <v>229301.22</v>
      </c>
      <c r="V14" s="17">
        <f t="shared" si="3"/>
        <v>75</v>
      </c>
      <c r="W14" s="17">
        <f t="shared" si="3"/>
        <v>229301.22</v>
      </c>
      <c r="X14" s="17">
        <f t="shared" si="3"/>
        <v>109</v>
      </c>
      <c r="Y14" s="17">
        <f t="shared" si="3"/>
        <v>303914</v>
      </c>
      <c r="Z14" s="17">
        <f t="shared" si="3"/>
        <v>424</v>
      </c>
      <c r="AA14" s="17">
        <f t="shared" si="3"/>
        <v>699098.4199999999</v>
      </c>
      <c r="AB14" s="17">
        <f t="shared" si="3"/>
        <v>530</v>
      </c>
      <c r="AC14" s="17">
        <f t="shared" si="3"/>
        <v>887684.2</v>
      </c>
      <c r="AD14" s="17">
        <f t="shared" si="3"/>
        <v>1116</v>
      </c>
      <c r="AE14" s="17">
        <f t="shared" si="3"/>
        <v>1816250.71</v>
      </c>
      <c r="AF14" s="17">
        <f t="shared" si="3"/>
        <v>828</v>
      </c>
      <c r="AG14" s="17">
        <f t="shared" si="3"/>
        <v>2176313.46</v>
      </c>
      <c r="AH14" s="17">
        <f t="shared" si="3"/>
        <v>3271</v>
      </c>
      <c r="AI14" s="17">
        <f t="shared" si="3"/>
        <v>6667763.05</v>
      </c>
    </row>
    <row r="15" spans="4:17" ht="12.75">
      <c r="D15" s="31">
        <f>D14-B14</f>
        <v>18</v>
      </c>
      <c r="E15" s="31">
        <f>E14-C14</f>
        <v>75647.89000000001</v>
      </c>
      <c r="H15" s="31">
        <f>H14-F14</f>
        <v>6</v>
      </c>
      <c r="I15" s="31">
        <f>I14-G14</f>
        <v>30465.040000000037</v>
      </c>
      <c r="L15" s="31">
        <f>L14-J14</f>
        <v>-72</v>
      </c>
      <c r="M15" s="31">
        <f>M14-K14</f>
        <v>-65175.320000000065</v>
      </c>
      <c r="P15" s="31">
        <f>P14-N14</f>
        <v>62</v>
      </c>
      <c r="Q15" s="31">
        <f>Q14-O14</f>
        <v>200523.28</v>
      </c>
    </row>
    <row r="16" spans="8:17" ht="12.75">
      <c r="H16" s="32">
        <f>D15+H15</f>
        <v>24</v>
      </c>
      <c r="I16" s="32">
        <f>E15+I15</f>
        <v>106112.93000000005</v>
      </c>
      <c r="L16" s="32">
        <f>L15+H16</f>
        <v>-48</v>
      </c>
      <c r="M16" s="32">
        <f>M15+I16</f>
        <v>40937.609999999986</v>
      </c>
      <c r="P16" s="32">
        <f>P15+L16</f>
        <v>14</v>
      </c>
      <c r="Q16" s="32">
        <f>Q15-M16</f>
        <v>159585.67</v>
      </c>
    </row>
  </sheetData>
  <sheetProtection/>
  <mergeCells count="16">
    <mergeCell ref="J5:M5"/>
    <mergeCell ref="N5:Q5"/>
    <mergeCell ref="R5:S5"/>
    <mergeCell ref="T5:U5"/>
    <mergeCell ref="V5:W5"/>
    <mergeCell ref="D6:E6"/>
    <mergeCell ref="H6:I6"/>
    <mergeCell ref="AF5:AG6"/>
    <mergeCell ref="AH5:AI6"/>
    <mergeCell ref="X5:Y5"/>
    <mergeCell ref="Z5:AA5"/>
    <mergeCell ref="Z6:AA6"/>
    <mergeCell ref="AD5:AE5"/>
    <mergeCell ref="AD6:AE6"/>
    <mergeCell ref="AB5:AC5"/>
    <mergeCell ref="AB6:A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R39"/>
  <sheetViews>
    <sheetView view="pageBreakPreview" zoomScale="75" zoomScaleSheetLayoutView="75" workbookViewId="0" topLeftCell="A1">
      <selection activeCell="AG5" sqref="AG5:AR16"/>
    </sheetView>
  </sheetViews>
  <sheetFormatPr defaultColWidth="9.00390625" defaultRowHeight="12.75"/>
  <cols>
    <col min="1" max="1" width="18.125" style="0" customWidth="1"/>
    <col min="2" max="2" width="15.875" style="0" customWidth="1"/>
    <col min="4" max="4" width="15.25390625" style="0" customWidth="1"/>
    <col min="5" max="5" width="14.125" style="0" customWidth="1"/>
    <col min="6" max="6" width="18.375" style="0" customWidth="1"/>
    <col min="7" max="7" width="7.875" style="0" customWidth="1"/>
    <col min="8" max="8" width="11.625" style="0" customWidth="1"/>
    <col min="9" max="9" width="6.75390625" style="0" customWidth="1"/>
    <col min="10" max="10" width="11.625" style="0" customWidth="1"/>
    <col min="11" max="11" width="7.00390625" style="0" customWidth="1"/>
    <col min="12" max="12" width="12.00390625" style="0" customWidth="1"/>
    <col min="14" max="15" width="12.375" style="0" customWidth="1"/>
    <col min="16" max="16" width="14.25390625" style="0" customWidth="1"/>
    <col min="18" max="18" width="19.625" style="0" customWidth="1"/>
    <col min="19" max="19" width="16.25390625" style="0" customWidth="1"/>
    <col min="21" max="21" width="12.875" style="0" customWidth="1"/>
    <col min="22" max="22" width="12.625" style="0" customWidth="1"/>
    <col min="23" max="23" width="17.00390625" style="0" customWidth="1"/>
    <col min="25" max="25" width="11.875" style="0" customWidth="1"/>
    <col min="27" max="27" width="13.875" style="0" customWidth="1"/>
    <col min="28" max="28" width="11.625" style="0" customWidth="1"/>
    <col min="29" max="29" width="15.00390625" style="0" customWidth="1"/>
    <col min="30" max="30" width="15.375" style="0" customWidth="1"/>
    <col min="31" max="31" width="16.375" style="0" customWidth="1"/>
    <col min="33" max="33" width="17.125" style="0" customWidth="1"/>
    <col min="34" max="34" width="16.00390625" style="0" customWidth="1"/>
    <col min="35" max="35" width="9.25390625" style="0" customWidth="1"/>
    <col min="36" max="36" width="17.125" style="0" customWidth="1"/>
    <col min="37" max="37" width="13.00390625" style="0" customWidth="1"/>
    <col min="38" max="38" width="18.875" style="0" customWidth="1"/>
    <col min="39" max="39" width="10.375" style="0" customWidth="1"/>
    <col min="40" max="40" width="13.875" style="0" customWidth="1"/>
    <col min="42" max="42" width="12.125" style="0" customWidth="1"/>
    <col min="43" max="43" width="15.00390625" style="0" customWidth="1"/>
    <col min="44" max="44" width="17.00390625" style="0" customWidth="1"/>
  </cols>
  <sheetData>
    <row r="2" spans="2:20" ht="15">
      <c r="B2" s="10" t="s">
        <v>54</v>
      </c>
      <c r="C2" s="30"/>
      <c r="S2" s="10" t="s">
        <v>54</v>
      </c>
      <c r="T2" s="30"/>
    </row>
    <row r="4" spans="1:31" ht="12.75">
      <c r="A4" s="11"/>
      <c r="B4" s="12" t="s">
        <v>21</v>
      </c>
      <c r="C4" s="11" t="s">
        <v>56</v>
      </c>
      <c r="D4" s="23"/>
      <c r="E4" s="28"/>
      <c r="F4" s="85" t="s">
        <v>57</v>
      </c>
      <c r="G4" s="67"/>
      <c r="H4" s="67"/>
      <c r="I4" s="67"/>
      <c r="J4" s="67"/>
      <c r="K4" s="67"/>
      <c r="L4" s="67"/>
      <c r="M4" s="79" t="s">
        <v>26</v>
      </c>
      <c r="N4" s="69"/>
      <c r="O4" s="88" t="s">
        <v>27</v>
      </c>
      <c r="P4" s="85" t="s">
        <v>46</v>
      </c>
      <c r="R4" s="11"/>
      <c r="S4" s="12" t="s">
        <v>21</v>
      </c>
      <c r="T4" s="11" t="s">
        <v>63</v>
      </c>
      <c r="U4" s="23"/>
      <c r="V4" s="28"/>
      <c r="W4" s="85" t="s">
        <v>60</v>
      </c>
      <c r="X4" s="67" t="s">
        <v>62</v>
      </c>
      <c r="Y4" s="67"/>
      <c r="Z4" s="67"/>
      <c r="AA4" s="67"/>
      <c r="AB4" s="79" t="s">
        <v>26</v>
      </c>
      <c r="AC4" s="69"/>
      <c r="AD4" s="88" t="s">
        <v>27</v>
      </c>
      <c r="AE4" s="85" t="s">
        <v>61</v>
      </c>
    </row>
    <row r="5" spans="1:35" ht="12.75" customHeight="1">
      <c r="A5" s="11" t="s">
        <v>1</v>
      </c>
      <c r="B5" s="21" t="s">
        <v>55</v>
      </c>
      <c r="C5" s="10"/>
      <c r="D5" s="10"/>
      <c r="E5" s="29" t="s">
        <v>11</v>
      </c>
      <c r="F5" s="108"/>
      <c r="G5" s="88" t="s">
        <v>38</v>
      </c>
      <c r="H5" s="88"/>
      <c r="I5" s="67" t="s">
        <v>22</v>
      </c>
      <c r="J5" s="67"/>
      <c r="K5" s="109" t="s">
        <v>23</v>
      </c>
      <c r="L5" s="109"/>
      <c r="M5" s="70"/>
      <c r="N5" s="71"/>
      <c r="O5" s="88"/>
      <c r="P5" s="101"/>
      <c r="R5" s="11" t="s">
        <v>1</v>
      </c>
      <c r="S5" s="21" t="s">
        <v>55</v>
      </c>
      <c r="T5" s="10"/>
      <c r="U5" s="10"/>
      <c r="V5" s="29" t="s">
        <v>11</v>
      </c>
      <c r="W5" s="108"/>
      <c r="X5" s="67" t="s">
        <v>22</v>
      </c>
      <c r="Y5" s="67"/>
      <c r="Z5" s="109" t="s">
        <v>23</v>
      </c>
      <c r="AA5" s="109"/>
      <c r="AB5" s="70"/>
      <c r="AC5" s="71"/>
      <c r="AD5" s="88"/>
      <c r="AE5" s="101"/>
      <c r="AH5" s="10" t="s">
        <v>54</v>
      </c>
      <c r="AI5" s="30"/>
    </row>
    <row r="6" spans="1:31" ht="12.75">
      <c r="A6" s="3"/>
      <c r="B6" s="4" t="s">
        <v>10</v>
      </c>
      <c r="C6" s="4" t="s">
        <v>13</v>
      </c>
      <c r="D6" s="4" t="s">
        <v>10</v>
      </c>
      <c r="E6" s="19" t="s">
        <v>10</v>
      </c>
      <c r="F6" s="4" t="s">
        <v>24</v>
      </c>
      <c r="G6" s="4" t="s">
        <v>14</v>
      </c>
      <c r="H6" s="4" t="s">
        <v>24</v>
      </c>
      <c r="I6" s="4" t="s">
        <v>14</v>
      </c>
      <c r="J6" s="4" t="s">
        <v>24</v>
      </c>
      <c r="K6" s="4" t="s">
        <v>14</v>
      </c>
      <c r="L6" s="4" t="s">
        <v>24</v>
      </c>
      <c r="M6" s="4" t="s">
        <v>14</v>
      </c>
      <c r="N6" s="4" t="s">
        <v>24</v>
      </c>
      <c r="O6" s="33" t="s">
        <v>24</v>
      </c>
      <c r="P6" s="102"/>
      <c r="R6" s="3"/>
      <c r="S6" s="4" t="s">
        <v>10</v>
      </c>
      <c r="T6" s="4" t="s">
        <v>13</v>
      </c>
      <c r="U6" s="4" t="s">
        <v>10</v>
      </c>
      <c r="V6" s="19" t="s">
        <v>10</v>
      </c>
      <c r="W6" s="4" t="s">
        <v>24</v>
      </c>
      <c r="X6" s="4" t="s">
        <v>14</v>
      </c>
      <c r="Y6" s="4" t="s">
        <v>24</v>
      </c>
      <c r="Z6" s="4" t="s">
        <v>14</v>
      </c>
      <c r="AA6" s="4" t="s">
        <v>24</v>
      </c>
      <c r="AB6" s="4" t="s">
        <v>14</v>
      </c>
      <c r="AC6" s="4" t="s">
        <v>24</v>
      </c>
      <c r="AD6" s="33" t="s">
        <v>24</v>
      </c>
      <c r="AE6" s="102"/>
    </row>
    <row r="7" spans="1:44" ht="12.75">
      <c r="A7" s="4" t="s">
        <v>15</v>
      </c>
      <c r="B7" s="4">
        <v>191280.8399999999</v>
      </c>
      <c r="C7" s="4">
        <v>221</v>
      </c>
      <c r="D7" s="4">
        <v>566549.74</v>
      </c>
      <c r="E7" s="19">
        <f>717844.64+29445.07</f>
        <v>747289.71</v>
      </c>
      <c r="F7" s="4">
        <f aca="true" t="shared" si="0" ref="F7:F12">B7+D7-E7</f>
        <v>10540.869999999879</v>
      </c>
      <c r="G7" s="4">
        <v>41</v>
      </c>
      <c r="H7" s="4">
        <v>101149.03</v>
      </c>
      <c r="I7" s="4">
        <v>37</v>
      </c>
      <c r="J7" s="4">
        <v>91280.84</v>
      </c>
      <c r="K7" s="4">
        <v>98</v>
      </c>
      <c r="L7" s="4">
        <v>241770.86</v>
      </c>
      <c r="M7" s="4">
        <f aca="true" t="shared" si="1" ref="M7:N12">C7+G7+I7+K7</f>
        <v>397</v>
      </c>
      <c r="N7" s="4">
        <f t="shared" si="1"/>
        <v>1000750.47</v>
      </c>
      <c r="O7" s="4">
        <f aca="true" t="shared" si="2" ref="O7:O12">E7</f>
        <v>747289.71</v>
      </c>
      <c r="P7" s="4">
        <f aca="true" t="shared" si="3" ref="P7:P12">B7+N7-O7</f>
        <v>444741.59999999986</v>
      </c>
      <c r="R7" s="4" t="s">
        <v>15</v>
      </c>
      <c r="S7" s="4">
        <v>191280.8399999999</v>
      </c>
      <c r="T7" s="4">
        <f>221+30+66</f>
        <v>317</v>
      </c>
      <c r="U7" s="4">
        <f>566549.74+U16+U25</f>
        <v>812652.7999999999</v>
      </c>
      <c r="V7" s="19">
        <f>717844.64+29445.07+200000</f>
        <v>947289.71</v>
      </c>
      <c r="W7" s="4">
        <f aca="true" t="shared" si="4" ref="W7:W12">S7+U7-V7</f>
        <v>56643.929999999935</v>
      </c>
      <c r="X7" s="4">
        <v>56</v>
      </c>
      <c r="Y7" s="4">
        <v>143560.12</v>
      </c>
      <c r="Z7" s="4">
        <v>72</v>
      </c>
      <c r="AA7" s="4">
        <v>184577.3</v>
      </c>
      <c r="AB7" s="4">
        <f aca="true" t="shared" si="5" ref="AB7:AC12">T7+X7+Z7</f>
        <v>445</v>
      </c>
      <c r="AC7" s="4">
        <f t="shared" si="5"/>
        <v>1140790.22</v>
      </c>
      <c r="AD7" s="4">
        <f aca="true" t="shared" si="6" ref="AD7:AD12">V7</f>
        <v>947289.71</v>
      </c>
      <c r="AE7" s="4">
        <f aca="true" t="shared" si="7" ref="AE7:AE12">S7+AC7-AD7</f>
        <v>384781.34999999986</v>
      </c>
      <c r="AG7" s="11"/>
      <c r="AH7" s="12" t="s">
        <v>21</v>
      </c>
      <c r="AI7" s="11" t="s">
        <v>72</v>
      </c>
      <c r="AJ7" s="23"/>
      <c r="AK7" s="28"/>
      <c r="AL7" s="85" t="s">
        <v>73</v>
      </c>
      <c r="AM7" s="67"/>
      <c r="AN7" s="67"/>
      <c r="AO7" s="79" t="s">
        <v>65</v>
      </c>
      <c r="AP7" s="69"/>
      <c r="AQ7" s="88" t="s">
        <v>27</v>
      </c>
      <c r="AR7" s="85" t="s">
        <v>61</v>
      </c>
    </row>
    <row r="8" spans="1:44" ht="12.75">
      <c r="A8" s="4" t="s">
        <v>3</v>
      </c>
      <c r="B8" s="4">
        <v>286471.3500000001</v>
      </c>
      <c r="C8" s="4">
        <v>217</v>
      </c>
      <c r="D8" s="4">
        <v>607384.55</v>
      </c>
      <c r="E8" s="19">
        <v>859742</v>
      </c>
      <c r="F8" s="4">
        <f t="shared" si="0"/>
        <v>34113.90000000014</v>
      </c>
      <c r="G8" s="4">
        <v>23</v>
      </c>
      <c r="H8" s="4">
        <v>62157.11</v>
      </c>
      <c r="I8" s="4">
        <v>69</v>
      </c>
      <c r="J8" s="4">
        <v>186471.34</v>
      </c>
      <c r="K8" s="4">
        <v>92</v>
      </c>
      <c r="L8" s="4">
        <v>248628.46</v>
      </c>
      <c r="M8" s="4">
        <f t="shared" si="1"/>
        <v>401</v>
      </c>
      <c r="N8" s="4">
        <f t="shared" si="1"/>
        <v>1104641.46</v>
      </c>
      <c r="O8" s="4">
        <f t="shared" si="2"/>
        <v>859742</v>
      </c>
      <c r="P8" s="4">
        <f t="shared" si="3"/>
        <v>531370.81</v>
      </c>
      <c r="R8" s="4" t="s">
        <v>3</v>
      </c>
      <c r="S8" s="4">
        <v>286471.3500000001</v>
      </c>
      <c r="T8" s="4">
        <f>217+23+46</f>
        <v>286</v>
      </c>
      <c r="U8" s="4">
        <f>607384.55+U17+U26</f>
        <v>800516.06</v>
      </c>
      <c r="V8" s="19">
        <f>859742+200000</f>
        <v>1059742</v>
      </c>
      <c r="W8" s="4">
        <f t="shared" si="4"/>
        <v>27245.41000000015</v>
      </c>
      <c r="X8" s="4">
        <v>56</v>
      </c>
      <c r="Y8" s="4">
        <v>156744.4</v>
      </c>
      <c r="Z8" s="4">
        <v>72</v>
      </c>
      <c r="AA8" s="4">
        <v>201528.52</v>
      </c>
      <c r="AB8" s="4">
        <f t="shared" si="5"/>
        <v>414</v>
      </c>
      <c r="AC8" s="4">
        <f t="shared" si="5"/>
        <v>1158788.98</v>
      </c>
      <c r="AD8" s="4">
        <f t="shared" si="6"/>
        <v>1059742</v>
      </c>
      <c r="AE8" s="4">
        <f t="shared" si="7"/>
        <v>385518.3300000001</v>
      </c>
      <c r="AG8" s="11" t="s">
        <v>1</v>
      </c>
      <c r="AH8" s="21" t="s">
        <v>55</v>
      </c>
      <c r="AI8" s="10"/>
      <c r="AJ8" s="10"/>
      <c r="AK8" s="29" t="s">
        <v>11</v>
      </c>
      <c r="AL8" s="108"/>
      <c r="AM8" s="109" t="s">
        <v>64</v>
      </c>
      <c r="AN8" s="109"/>
      <c r="AO8" s="70"/>
      <c r="AP8" s="71"/>
      <c r="AQ8" s="88"/>
      <c r="AR8" s="101"/>
    </row>
    <row r="9" spans="1:44" ht="12.75">
      <c r="A9" s="4" t="s">
        <v>4</v>
      </c>
      <c r="B9" s="4">
        <v>182992.50999999998</v>
      </c>
      <c r="C9" s="4">
        <v>224</v>
      </c>
      <c r="D9" s="4">
        <v>521503.35000000003</v>
      </c>
      <c r="E9" s="19">
        <v>821119.76</v>
      </c>
      <c r="F9" s="4">
        <f t="shared" si="0"/>
        <v>-116623.90000000002</v>
      </c>
      <c r="G9" s="4">
        <v>30</v>
      </c>
      <c r="H9" s="4">
        <v>66948.48</v>
      </c>
      <c r="I9" s="4">
        <v>82</v>
      </c>
      <c r="J9" s="4">
        <v>182992.51</v>
      </c>
      <c r="K9" s="4">
        <v>46</v>
      </c>
      <c r="L9" s="4">
        <v>102654.34</v>
      </c>
      <c r="M9" s="4">
        <f t="shared" si="1"/>
        <v>382</v>
      </c>
      <c r="N9" s="4">
        <f t="shared" si="1"/>
        <v>874098.68</v>
      </c>
      <c r="O9" s="4">
        <f t="shared" si="2"/>
        <v>821119.76</v>
      </c>
      <c r="P9" s="4">
        <f t="shared" si="3"/>
        <v>235971.42999999993</v>
      </c>
      <c r="R9" s="4" t="s">
        <v>4</v>
      </c>
      <c r="S9" s="4">
        <v>182992.50999999998</v>
      </c>
      <c r="T9" s="4">
        <f>224+20+50</f>
        <v>294</v>
      </c>
      <c r="U9" s="4">
        <f>521503.35+U18+U27</f>
        <v>684473.15</v>
      </c>
      <c r="V9" s="19">
        <f>821119.76+110000</f>
        <v>931119.76</v>
      </c>
      <c r="W9" s="4">
        <f t="shared" si="4"/>
        <v>-63654.09999999998</v>
      </c>
      <c r="X9" s="4">
        <v>38</v>
      </c>
      <c r="Y9" s="4">
        <v>88469.32</v>
      </c>
      <c r="Z9" s="4">
        <v>50</v>
      </c>
      <c r="AA9" s="4">
        <v>116407</v>
      </c>
      <c r="AB9" s="4">
        <f t="shared" si="5"/>
        <v>382</v>
      </c>
      <c r="AC9" s="4">
        <f t="shared" si="5"/>
        <v>889349.47</v>
      </c>
      <c r="AD9" s="4">
        <f t="shared" si="6"/>
        <v>931119.76</v>
      </c>
      <c r="AE9" s="4">
        <f t="shared" si="7"/>
        <v>141222.21999999997</v>
      </c>
      <c r="AG9" s="3"/>
      <c r="AH9" s="4" t="s">
        <v>10</v>
      </c>
      <c r="AI9" s="4" t="s">
        <v>13</v>
      </c>
      <c r="AJ9" s="4" t="s">
        <v>10</v>
      </c>
      <c r="AK9" s="19" t="s">
        <v>10</v>
      </c>
      <c r="AL9" s="4" t="s">
        <v>24</v>
      </c>
      <c r="AM9" s="4" t="s">
        <v>14</v>
      </c>
      <c r="AN9" s="4" t="s">
        <v>24</v>
      </c>
      <c r="AO9" s="4" t="s">
        <v>14</v>
      </c>
      <c r="AP9" s="4" t="s">
        <v>24</v>
      </c>
      <c r="AQ9" s="33" t="s">
        <v>24</v>
      </c>
      <c r="AR9" s="102"/>
    </row>
    <row r="10" spans="1:44" ht="12.75">
      <c r="A10" s="4" t="s">
        <v>5</v>
      </c>
      <c r="B10" s="4">
        <v>385673.3999999999</v>
      </c>
      <c r="C10" s="4">
        <v>258</v>
      </c>
      <c r="D10" s="4">
        <v>686536.55</v>
      </c>
      <c r="E10" s="19">
        <f>922469.59+29445.07</f>
        <v>951914.6599999999</v>
      </c>
      <c r="F10" s="4">
        <f t="shared" si="0"/>
        <v>120295.29000000004</v>
      </c>
      <c r="G10" s="4">
        <v>33</v>
      </c>
      <c r="H10" s="4">
        <v>84267.52</v>
      </c>
      <c r="I10" s="4">
        <v>88</v>
      </c>
      <c r="J10" s="4">
        <v>225673.4</v>
      </c>
      <c r="K10" s="4">
        <v>123</v>
      </c>
      <c r="L10" s="4">
        <v>315429.86</v>
      </c>
      <c r="M10" s="4">
        <f t="shared" si="1"/>
        <v>502</v>
      </c>
      <c r="N10" s="4">
        <f t="shared" si="1"/>
        <v>1311907.33</v>
      </c>
      <c r="O10" s="4">
        <f t="shared" si="2"/>
        <v>951914.6599999999</v>
      </c>
      <c r="P10" s="4">
        <f t="shared" si="3"/>
        <v>745666.0700000001</v>
      </c>
      <c r="R10" s="4" t="s">
        <v>5</v>
      </c>
      <c r="S10" s="4">
        <v>385673.3999999999</v>
      </c>
      <c r="T10" s="4">
        <f>258+56+53</f>
        <v>367</v>
      </c>
      <c r="U10" s="4">
        <f>686536.55+U19+U28</f>
        <v>976584.94</v>
      </c>
      <c r="V10" s="19">
        <f>922469.59+29445.07+140000</f>
        <v>1091914.66</v>
      </c>
      <c r="W10" s="4">
        <f t="shared" si="4"/>
        <v>270343.67999999993</v>
      </c>
      <c r="X10" s="4">
        <v>30</v>
      </c>
      <c r="Y10" s="4">
        <v>79829.83</v>
      </c>
      <c r="Z10" s="4">
        <v>42</v>
      </c>
      <c r="AA10" s="4">
        <v>111761.76</v>
      </c>
      <c r="AB10" s="4">
        <f t="shared" si="5"/>
        <v>439</v>
      </c>
      <c r="AC10" s="4">
        <f t="shared" si="5"/>
        <v>1168176.53</v>
      </c>
      <c r="AD10" s="4">
        <f t="shared" si="6"/>
        <v>1091914.66</v>
      </c>
      <c r="AE10" s="4">
        <f t="shared" si="7"/>
        <v>461935.27</v>
      </c>
      <c r="AG10" s="4" t="s">
        <v>15</v>
      </c>
      <c r="AH10" s="4">
        <v>191280.8399999999</v>
      </c>
      <c r="AI10" s="4">
        <f>221+30+66+107</f>
        <v>424</v>
      </c>
      <c r="AJ10" s="4">
        <f>566549.74+U16+U25+274302.37</f>
        <v>1086955.17</v>
      </c>
      <c r="AK10" s="19">
        <f>717844.64+29445.07+405000</f>
        <v>1152289.71</v>
      </c>
      <c r="AL10" s="4">
        <f aca="true" t="shared" si="8" ref="AL10:AL15">AH10+AJ10-AK10</f>
        <v>125946.29999999981</v>
      </c>
      <c r="AM10" s="4">
        <v>109</v>
      </c>
      <c r="AN10" s="4">
        <v>279429.52</v>
      </c>
      <c r="AO10" s="4">
        <f aca="true" t="shared" si="9" ref="AO10:AP15">AI10+AM10</f>
        <v>533</v>
      </c>
      <c r="AP10" s="4">
        <f t="shared" si="9"/>
        <v>1366384.69</v>
      </c>
      <c r="AQ10" s="4">
        <f aca="true" t="shared" si="10" ref="AQ10:AQ15">AK10</f>
        <v>1152289.71</v>
      </c>
      <c r="AR10" s="4">
        <f aca="true" t="shared" si="11" ref="AR10:AR15">AH10+AP10-AQ10</f>
        <v>405375.81999999983</v>
      </c>
    </row>
    <row r="11" spans="1:44" ht="12.75">
      <c r="A11" s="4" t="s">
        <v>6</v>
      </c>
      <c r="B11" s="4">
        <v>326609.28</v>
      </c>
      <c r="C11" s="4">
        <v>218</v>
      </c>
      <c r="D11" s="4">
        <v>711062.83</v>
      </c>
      <c r="E11" s="19">
        <f>1125556+29445.07</f>
        <v>1155001.07</v>
      </c>
      <c r="F11" s="4">
        <f t="shared" si="0"/>
        <v>-117328.96000000008</v>
      </c>
      <c r="G11" s="4">
        <v>60</v>
      </c>
      <c r="H11" s="4">
        <v>189913.92</v>
      </c>
      <c r="I11" s="4">
        <v>40</v>
      </c>
      <c r="J11" s="4">
        <v>126609.28</v>
      </c>
      <c r="K11" s="4">
        <v>140</v>
      </c>
      <c r="L11" s="4">
        <v>443132.48</v>
      </c>
      <c r="M11" s="4">
        <f t="shared" si="1"/>
        <v>458</v>
      </c>
      <c r="N11" s="4">
        <f t="shared" si="1"/>
        <v>1470718.51</v>
      </c>
      <c r="O11" s="4">
        <f t="shared" si="2"/>
        <v>1155001.07</v>
      </c>
      <c r="P11" s="4">
        <f t="shared" si="3"/>
        <v>642326.72</v>
      </c>
      <c r="R11" s="4" t="s">
        <v>6</v>
      </c>
      <c r="S11" s="4">
        <v>326609.28</v>
      </c>
      <c r="T11" s="4">
        <f>218+30+60</f>
        <v>308</v>
      </c>
      <c r="U11" s="4">
        <f>711062.83+U20+U29</f>
        <v>1004620.87</v>
      </c>
      <c r="V11" s="19">
        <f>1125556+250000</f>
        <v>1375556</v>
      </c>
      <c r="W11" s="4">
        <f t="shared" si="4"/>
        <v>-44325.85000000009</v>
      </c>
      <c r="X11" s="4">
        <v>56</v>
      </c>
      <c r="Y11" s="4">
        <v>182568.34</v>
      </c>
      <c r="Z11" s="4">
        <v>72</v>
      </c>
      <c r="AA11" s="4">
        <v>234846.43</v>
      </c>
      <c r="AB11" s="4">
        <f t="shared" si="5"/>
        <v>436</v>
      </c>
      <c r="AC11" s="4">
        <f t="shared" si="5"/>
        <v>1422035.64</v>
      </c>
      <c r="AD11" s="4">
        <f t="shared" si="6"/>
        <v>1375556</v>
      </c>
      <c r="AE11" s="4">
        <f t="shared" si="7"/>
        <v>373088.9199999999</v>
      </c>
      <c r="AG11" s="4" t="s">
        <v>3</v>
      </c>
      <c r="AH11" s="4">
        <v>286471.3500000001</v>
      </c>
      <c r="AI11" s="4">
        <f>217+23+46+92</f>
        <v>378</v>
      </c>
      <c r="AJ11" s="4">
        <f>607384.55+U17+U26+257508.66</f>
        <v>1058024.72</v>
      </c>
      <c r="AK11" s="19">
        <f>859742+293000</f>
        <v>1152742</v>
      </c>
      <c r="AL11" s="4">
        <f t="shared" si="8"/>
        <v>191754.07000000007</v>
      </c>
      <c r="AM11" s="4">
        <v>56</v>
      </c>
      <c r="AN11" s="4">
        <v>156744.41</v>
      </c>
      <c r="AO11" s="4">
        <f t="shared" si="9"/>
        <v>434</v>
      </c>
      <c r="AP11" s="4">
        <f t="shared" si="9"/>
        <v>1214769.13</v>
      </c>
      <c r="AQ11" s="4">
        <f t="shared" si="10"/>
        <v>1152742</v>
      </c>
      <c r="AR11" s="4">
        <f t="shared" si="11"/>
        <v>348498.48</v>
      </c>
    </row>
    <row r="12" spans="1:44" ht="12.75">
      <c r="A12" s="4" t="s">
        <v>43</v>
      </c>
      <c r="B12" s="4">
        <v>608832.8600000001</v>
      </c>
      <c r="C12" s="4">
        <v>388</v>
      </c>
      <c r="D12" s="4">
        <v>1234061.9500000002</v>
      </c>
      <c r="E12" s="19">
        <v>1773892.01</v>
      </c>
      <c r="F12" s="4">
        <f t="shared" si="0"/>
        <v>69002.80000000028</v>
      </c>
      <c r="G12" s="4">
        <v>69</v>
      </c>
      <c r="H12" s="4">
        <v>212799.32</v>
      </c>
      <c r="I12" s="4">
        <v>136</v>
      </c>
      <c r="J12" s="4">
        <v>419430.52</v>
      </c>
      <c r="K12" s="4">
        <v>138</v>
      </c>
      <c r="L12" s="4">
        <f>425598.62+140030.24</f>
        <v>565628.86</v>
      </c>
      <c r="M12" s="4">
        <f t="shared" si="1"/>
        <v>731</v>
      </c>
      <c r="N12" s="4">
        <f t="shared" si="1"/>
        <v>2431920.6500000004</v>
      </c>
      <c r="O12" s="4">
        <f t="shared" si="2"/>
        <v>1773892.01</v>
      </c>
      <c r="P12" s="4">
        <f t="shared" si="3"/>
        <v>1266861.5000000007</v>
      </c>
      <c r="R12" s="4" t="s">
        <v>43</v>
      </c>
      <c r="S12" s="4">
        <v>608832.8600000001</v>
      </c>
      <c r="T12" s="4">
        <f>388+92+92</f>
        <v>572</v>
      </c>
      <c r="U12" s="4">
        <f>1234061.95+U21+U30</f>
        <v>1819287.1999999997</v>
      </c>
      <c r="V12" s="19">
        <f>1773892.01+29445.07+600000</f>
        <v>2403337.08</v>
      </c>
      <c r="W12" s="4">
        <f t="shared" si="4"/>
        <v>24782.979999999516</v>
      </c>
      <c r="X12" s="4">
        <v>110</v>
      </c>
      <c r="Y12" s="4">
        <v>349862.92</v>
      </c>
      <c r="Z12" s="4">
        <v>130</v>
      </c>
      <c r="AA12" s="4">
        <v>413474.36</v>
      </c>
      <c r="AB12" s="4">
        <f t="shared" si="5"/>
        <v>812</v>
      </c>
      <c r="AC12" s="4">
        <f t="shared" si="5"/>
        <v>2582624.4799999995</v>
      </c>
      <c r="AD12" s="4">
        <f t="shared" si="6"/>
        <v>2403337.08</v>
      </c>
      <c r="AE12" s="4">
        <f t="shared" si="7"/>
        <v>788120.2599999998</v>
      </c>
      <c r="AG12" s="4" t="s">
        <v>4</v>
      </c>
      <c r="AH12" s="4">
        <v>182992.50999999998</v>
      </c>
      <c r="AI12" s="4">
        <f>224+20+50+110</f>
        <v>404</v>
      </c>
      <c r="AJ12" s="4">
        <f>521503.35+U18+U27+256095.4</f>
        <v>940568.55</v>
      </c>
      <c r="AK12" s="19">
        <f>821119.76+271000</f>
        <v>1092119.76</v>
      </c>
      <c r="AL12" s="4">
        <f t="shared" si="8"/>
        <v>31441.300000000047</v>
      </c>
      <c r="AM12" s="4">
        <v>79</v>
      </c>
      <c r="AN12" s="4">
        <v>183923.06</v>
      </c>
      <c r="AO12" s="4">
        <f t="shared" si="9"/>
        <v>483</v>
      </c>
      <c r="AP12" s="4">
        <f t="shared" si="9"/>
        <v>1124491.61</v>
      </c>
      <c r="AQ12" s="4">
        <f t="shared" si="10"/>
        <v>1092119.76</v>
      </c>
      <c r="AR12" s="4">
        <f t="shared" si="11"/>
        <v>215364.3600000001</v>
      </c>
    </row>
    <row r="13" spans="1:44" ht="12.75">
      <c r="A13" s="2" t="s">
        <v>7</v>
      </c>
      <c r="B13" s="2">
        <f>SUM(B7:B12)</f>
        <v>1981860.24</v>
      </c>
      <c r="C13" s="4">
        <f>SUM(C7:C12)</f>
        <v>1526</v>
      </c>
      <c r="D13" s="4">
        <f>SUM(D7:D12)</f>
        <v>4327098.970000001</v>
      </c>
      <c r="E13" s="4">
        <f>SUM(E7:E12)</f>
        <v>6308959.21</v>
      </c>
      <c r="F13" s="4">
        <f>F7+F8+F9+F10+F11+F12</f>
        <v>2.3283064365386963E-10</v>
      </c>
      <c r="G13" s="4">
        <f>SUM(G7:G12)</f>
        <v>256</v>
      </c>
      <c r="H13" s="4">
        <f>SUM(H7:H12)</f>
        <v>717235.3800000001</v>
      </c>
      <c r="I13" s="4">
        <f>SUM(I7:I12)</f>
        <v>452</v>
      </c>
      <c r="J13" s="4">
        <f aca="true" t="shared" si="12" ref="J13:P13">SUM(J7:J12)</f>
        <v>1232457.8900000001</v>
      </c>
      <c r="K13" s="4">
        <f t="shared" si="12"/>
        <v>637</v>
      </c>
      <c r="L13" s="4">
        <f t="shared" si="12"/>
        <v>1917244.8599999999</v>
      </c>
      <c r="M13" s="4">
        <f t="shared" si="12"/>
        <v>2871</v>
      </c>
      <c r="N13" s="4">
        <f t="shared" si="12"/>
        <v>8194037.1</v>
      </c>
      <c r="O13" s="4">
        <f t="shared" si="12"/>
        <v>6308959.21</v>
      </c>
      <c r="P13" s="4">
        <f t="shared" si="12"/>
        <v>3866938.130000001</v>
      </c>
      <c r="R13" s="2" t="s">
        <v>7</v>
      </c>
      <c r="S13" s="2">
        <f aca="true" t="shared" si="13" ref="S13:X13">SUM(S7:S12)</f>
        <v>1981860.24</v>
      </c>
      <c r="T13" s="4">
        <f t="shared" si="13"/>
        <v>2144</v>
      </c>
      <c r="U13" s="4">
        <f t="shared" si="13"/>
        <v>6098135.02</v>
      </c>
      <c r="V13" s="4">
        <f t="shared" si="13"/>
        <v>7808959.21</v>
      </c>
      <c r="W13" s="4">
        <f t="shared" si="13"/>
        <v>271036.04999999946</v>
      </c>
      <c r="X13" s="4">
        <f t="shared" si="13"/>
        <v>346</v>
      </c>
      <c r="Y13" s="4">
        <f aca="true" t="shared" si="14" ref="Y13:AE13">SUM(Y7:Y12)</f>
        <v>1001034.9299999999</v>
      </c>
      <c r="Z13" s="4">
        <f t="shared" si="14"/>
        <v>438</v>
      </c>
      <c r="AA13" s="4">
        <f t="shared" si="14"/>
        <v>1262595.37</v>
      </c>
      <c r="AB13" s="4">
        <f t="shared" si="14"/>
        <v>2928</v>
      </c>
      <c r="AC13" s="4">
        <f t="shared" si="14"/>
        <v>8361765.319999999</v>
      </c>
      <c r="AD13" s="4">
        <f t="shared" si="14"/>
        <v>7808959.21</v>
      </c>
      <c r="AE13" s="4">
        <f t="shared" si="14"/>
        <v>2534666.3499999996</v>
      </c>
      <c r="AG13" s="4" t="s">
        <v>5</v>
      </c>
      <c r="AH13" s="4">
        <v>385673.3999999999</v>
      </c>
      <c r="AI13" s="4">
        <f>258+56+53+135</f>
        <v>502</v>
      </c>
      <c r="AJ13" s="4">
        <f>686536.55+U19+U28+359234.24</f>
        <v>1335819.18</v>
      </c>
      <c r="AK13" s="19">
        <f>922469.59+29445.07+385000</f>
        <v>1336914.66</v>
      </c>
      <c r="AL13" s="4">
        <f t="shared" si="8"/>
        <v>384577.9199999999</v>
      </c>
      <c r="AM13" s="4">
        <v>92</v>
      </c>
      <c r="AN13" s="4">
        <v>244811.48</v>
      </c>
      <c r="AO13" s="4">
        <f t="shared" si="9"/>
        <v>594</v>
      </c>
      <c r="AP13" s="4">
        <f t="shared" si="9"/>
        <v>1580630.66</v>
      </c>
      <c r="AQ13" s="4">
        <f t="shared" si="10"/>
        <v>1336914.66</v>
      </c>
      <c r="AR13" s="4">
        <f t="shared" si="11"/>
        <v>629389.3999999999</v>
      </c>
    </row>
    <row r="14" spans="23:44" ht="12.75">
      <c r="W14" s="14"/>
      <c r="AG14" s="4" t="s">
        <v>6</v>
      </c>
      <c r="AH14" s="4">
        <v>326609.28</v>
      </c>
      <c r="AI14" s="4">
        <f>218+30+60+86</f>
        <v>394</v>
      </c>
      <c r="AJ14" s="4">
        <f>711062.83+U20+U29+280511.02</f>
        <v>1285131.8900000001</v>
      </c>
      <c r="AK14" s="19">
        <f>1125556+513000</f>
        <v>1638556</v>
      </c>
      <c r="AL14" s="4">
        <f t="shared" si="8"/>
        <v>-26814.82999999984</v>
      </c>
      <c r="AM14" s="4">
        <v>118</v>
      </c>
      <c r="AN14" s="4">
        <v>384887.21</v>
      </c>
      <c r="AO14" s="4">
        <f t="shared" si="9"/>
        <v>512</v>
      </c>
      <c r="AP14" s="4">
        <f t="shared" si="9"/>
        <v>1670019.1</v>
      </c>
      <c r="AQ14" s="4">
        <f t="shared" si="10"/>
        <v>1638556</v>
      </c>
      <c r="AR14" s="4">
        <f t="shared" si="11"/>
        <v>358072.3800000001</v>
      </c>
    </row>
    <row r="15" spans="33:44" ht="12.75">
      <c r="AG15" s="4" t="s">
        <v>43</v>
      </c>
      <c r="AH15" s="4">
        <v>608832.8600000001</v>
      </c>
      <c r="AI15" s="4">
        <f>388+92+92+31</f>
        <v>603</v>
      </c>
      <c r="AJ15" s="4">
        <f>1234061.95+U21+U30+98597.74</f>
        <v>1917884.9399999997</v>
      </c>
      <c r="AK15" s="19">
        <f>1773892.01+29445.07+860000</f>
        <v>2663337.08</v>
      </c>
      <c r="AL15" s="4">
        <f t="shared" si="8"/>
        <v>-136619.28000000026</v>
      </c>
      <c r="AM15" s="4">
        <v>138</v>
      </c>
      <c r="AN15" s="4">
        <v>438918.94</v>
      </c>
      <c r="AO15" s="4">
        <f t="shared" si="9"/>
        <v>741</v>
      </c>
      <c r="AP15" s="4">
        <f t="shared" si="9"/>
        <v>2356803.88</v>
      </c>
      <c r="AQ15" s="4">
        <f t="shared" si="10"/>
        <v>2663337.08</v>
      </c>
      <c r="AR15" s="4">
        <f t="shared" si="11"/>
        <v>302299.66000000015</v>
      </c>
    </row>
    <row r="16" spans="20:44" ht="12.75">
      <c r="T16" s="4">
        <v>30</v>
      </c>
      <c r="U16" s="4">
        <v>76907.21</v>
      </c>
      <c r="V16" s="4">
        <v>20</v>
      </c>
      <c r="W16" s="4">
        <v>46562.8</v>
      </c>
      <c r="AG16" s="2" t="s">
        <v>7</v>
      </c>
      <c r="AH16" s="2">
        <f>SUM(AH10:AH15)</f>
        <v>1981860.24</v>
      </c>
      <c r="AI16" s="4">
        <f>SUM(AI10:AI15)</f>
        <v>2705</v>
      </c>
      <c r="AJ16" s="4">
        <f>SUM(AJ10:AJ15)</f>
        <v>7624384.449999999</v>
      </c>
      <c r="AK16" s="4">
        <f>SUM(AK10:AK15)</f>
        <v>9035959.21</v>
      </c>
      <c r="AL16" s="4">
        <f>SUM(AL10:AL15)</f>
        <v>570285.4799999997</v>
      </c>
      <c r="AM16" s="4">
        <f aca="true" t="shared" si="15" ref="AM16:AR16">SUM(AM10:AM15)</f>
        <v>592</v>
      </c>
      <c r="AN16" s="4">
        <f t="shared" si="15"/>
        <v>1688714.6199999999</v>
      </c>
      <c r="AO16" s="4">
        <f t="shared" si="15"/>
        <v>3297</v>
      </c>
      <c r="AP16" s="4">
        <f t="shared" si="15"/>
        <v>9313099.07</v>
      </c>
      <c r="AQ16" s="4">
        <f t="shared" si="15"/>
        <v>9035959.21</v>
      </c>
      <c r="AR16" s="4">
        <f t="shared" si="15"/>
        <v>2259000.1</v>
      </c>
    </row>
    <row r="17" spans="20:23" ht="12.75">
      <c r="T17" s="4">
        <v>23</v>
      </c>
      <c r="U17" s="4">
        <v>64377.17</v>
      </c>
      <c r="V17" s="4">
        <v>15</v>
      </c>
      <c r="W17" s="4">
        <v>40952.63</v>
      </c>
    </row>
    <row r="18" spans="20:44" ht="12.75">
      <c r="T18" s="4">
        <v>20</v>
      </c>
      <c r="U18" s="4">
        <v>46562.8</v>
      </c>
      <c r="V18" s="4">
        <v>10</v>
      </c>
      <c r="W18" s="4">
        <v>35947.25</v>
      </c>
      <c r="AR18" t="s">
        <v>69</v>
      </c>
    </row>
    <row r="19" spans="2:44" ht="15">
      <c r="B19" s="10" t="s">
        <v>54</v>
      </c>
      <c r="C19" s="30"/>
      <c r="T19" s="4">
        <v>56</v>
      </c>
      <c r="U19" s="4">
        <v>149015.69</v>
      </c>
      <c r="V19" s="4">
        <v>30</v>
      </c>
      <c r="W19" s="4">
        <v>82510.05</v>
      </c>
      <c r="AR19" s="4" t="s">
        <v>66</v>
      </c>
    </row>
    <row r="20" spans="20:44" ht="12.75">
      <c r="T20" s="4">
        <v>30</v>
      </c>
      <c r="U20" s="4">
        <v>97852.68</v>
      </c>
      <c r="V20" s="4">
        <v>20</v>
      </c>
      <c r="W20" s="4">
        <v>46562.8</v>
      </c>
      <c r="AR20" s="4" t="s">
        <v>67</v>
      </c>
    </row>
    <row r="21" spans="1:44" ht="12.75">
      <c r="A21" s="11"/>
      <c r="B21" s="12" t="s">
        <v>21</v>
      </c>
      <c r="C21" s="11" t="s">
        <v>59</v>
      </c>
      <c r="D21" s="23"/>
      <c r="E21" s="28"/>
      <c r="F21" s="85" t="s">
        <v>58</v>
      </c>
      <c r="G21" s="67"/>
      <c r="H21" s="67"/>
      <c r="I21" s="67"/>
      <c r="J21" s="67"/>
      <c r="K21" s="67"/>
      <c r="L21" s="67"/>
      <c r="M21" s="79" t="s">
        <v>26</v>
      </c>
      <c r="N21" s="69"/>
      <c r="O21" s="88" t="s">
        <v>27</v>
      </c>
      <c r="P21" s="85" t="s">
        <v>46</v>
      </c>
      <c r="T21" s="4">
        <v>92</v>
      </c>
      <c r="U21" s="4">
        <f>292643.54-30.92</f>
        <v>292612.62</v>
      </c>
      <c r="V21" s="4">
        <v>46</v>
      </c>
      <c r="W21" s="4">
        <v>127197.9</v>
      </c>
      <c r="AR21" s="4" t="s">
        <v>68</v>
      </c>
    </row>
    <row r="22" spans="1:44" ht="12.75" customHeight="1">
      <c r="A22" s="11" t="s">
        <v>1</v>
      </c>
      <c r="B22" s="21" t="s">
        <v>55</v>
      </c>
      <c r="C22" s="10"/>
      <c r="D22" s="10"/>
      <c r="E22" s="29" t="s">
        <v>11</v>
      </c>
      <c r="F22" s="108"/>
      <c r="G22" s="88" t="s">
        <v>38</v>
      </c>
      <c r="H22" s="88"/>
      <c r="I22" s="67" t="s">
        <v>22</v>
      </c>
      <c r="J22" s="67"/>
      <c r="K22" s="109" t="s">
        <v>23</v>
      </c>
      <c r="L22" s="109"/>
      <c r="M22" s="70"/>
      <c r="N22" s="71"/>
      <c r="O22" s="88"/>
      <c r="P22" s="101"/>
      <c r="T22" s="4">
        <v>92</v>
      </c>
      <c r="U22" s="4">
        <f>292643.54-30.92</f>
        <v>292612.62</v>
      </c>
      <c r="V22" s="4">
        <v>46</v>
      </c>
      <c r="W22" s="4">
        <v>127197.9</v>
      </c>
      <c r="AR22" s="4"/>
    </row>
    <row r="23" spans="1:40" ht="12.75">
      <c r="A23" s="3"/>
      <c r="B23" s="4" t="s">
        <v>10</v>
      </c>
      <c r="C23" s="4" t="s">
        <v>13</v>
      </c>
      <c r="D23" s="4" t="s">
        <v>10</v>
      </c>
      <c r="E23" s="19" t="s">
        <v>10</v>
      </c>
      <c r="F23" s="4" t="s">
        <v>24</v>
      </c>
      <c r="G23" s="4" t="s">
        <v>14</v>
      </c>
      <c r="H23" s="4" t="s">
        <v>24</v>
      </c>
      <c r="I23" s="4" t="s">
        <v>14</v>
      </c>
      <c r="J23" s="4" t="s">
        <v>24</v>
      </c>
      <c r="K23" s="4" t="s">
        <v>14</v>
      </c>
      <c r="L23" s="4" t="s">
        <v>24</v>
      </c>
      <c r="M23" s="4" t="s">
        <v>14</v>
      </c>
      <c r="N23" s="4" t="s">
        <v>24</v>
      </c>
      <c r="O23" s="33" t="s">
        <v>24</v>
      </c>
      <c r="P23" s="102"/>
      <c r="T23">
        <f>SUM(T16:T22)</f>
        <v>343</v>
      </c>
      <c r="AJ23" s="76" t="s">
        <v>70</v>
      </c>
      <c r="AK23" s="77"/>
      <c r="AL23" s="77"/>
      <c r="AM23" s="79" t="s">
        <v>71</v>
      </c>
      <c r="AN23" s="69"/>
    </row>
    <row r="24" spans="1:40" ht="12.75">
      <c r="A24" s="4" t="s">
        <v>15</v>
      </c>
      <c r="B24" s="4">
        <v>191280.8399999999</v>
      </c>
      <c r="C24" s="4">
        <f>221+30</f>
        <v>251</v>
      </c>
      <c r="D24" s="4">
        <f>566549.74+D33</f>
        <v>643456.95</v>
      </c>
      <c r="E24" s="19">
        <f>717844.64+29445.07+200000</f>
        <v>947289.71</v>
      </c>
      <c r="F24" s="4">
        <f aca="true" t="shared" si="16" ref="F24:F29">B24+D24-E24</f>
        <v>-112551.92000000016</v>
      </c>
      <c r="G24" s="4">
        <v>41</v>
      </c>
      <c r="H24" s="4">
        <v>101149.03</v>
      </c>
      <c r="I24" s="4">
        <v>37</v>
      </c>
      <c r="J24" s="4">
        <v>91280.84</v>
      </c>
      <c r="K24" s="4">
        <v>98</v>
      </c>
      <c r="L24" s="4">
        <v>241770.86</v>
      </c>
      <c r="M24" s="4">
        <f aca="true" t="shared" si="17" ref="M24:N29">C24+G24+I24+K24</f>
        <v>427</v>
      </c>
      <c r="N24" s="4">
        <f t="shared" si="17"/>
        <v>1077657.68</v>
      </c>
      <c r="O24" s="4">
        <f aca="true" t="shared" si="18" ref="O24:O29">E24</f>
        <v>947289.71</v>
      </c>
      <c r="P24" s="4">
        <f aca="true" t="shared" si="19" ref="P24:P29">B24+N24-O24</f>
        <v>321648.8099999998</v>
      </c>
      <c r="AJ24" s="5" t="s">
        <v>12</v>
      </c>
      <c r="AK24" s="2"/>
      <c r="AL24" s="2" t="s">
        <v>11</v>
      </c>
      <c r="AM24" s="70"/>
      <c r="AN24" s="71"/>
    </row>
    <row r="25" spans="1:40" ht="12.75">
      <c r="A25" s="4" t="s">
        <v>3</v>
      </c>
      <c r="B25" s="4">
        <v>286471.3500000001</v>
      </c>
      <c r="C25" s="4">
        <f>217+23</f>
        <v>240</v>
      </c>
      <c r="D25" s="4">
        <f>607384.55+D34</f>
        <v>671761.7200000001</v>
      </c>
      <c r="E25" s="19">
        <f>859742+200000</f>
        <v>1059742</v>
      </c>
      <c r="F25" s="4">
        <f t="shared" si="16"/>
        <v>-101508.92999999982</v>
      </c>
      <c r="G25" s="4">
        <v>23</v>
      </c>
      <c r="H25" s="4">
        <v>62157.11</v>
      </c>
      <c r="I25" s="4">
        <v>69</v>
      </c>
      <c r="J25" s="4">
        <v>186471.34</v>
      </c>
      <c r="K25" s="4">
        <v>92</v>
      </c>
      <c r="L25" s="4">
        <v>248628.46</v>
      </c>
      <c r="M25" s="4">
        <f t="shared" si="17"/>
        <v>424</v>
      </c>
      <c r="N25" s="4">
        <f t="shared" si="17"/>
        <v>1169018.6300000001</v>
      </c>
      <c r="O25" s="4">
        <f t="shared" si="18"/>
        <v>1059742</v>
      </c>
      <c r="P25" s="4">
        <f t="shared" si="19"/>
        <v>395747.9800000002</v>
      </c>
      <c r="T25" s="4">
        <v>66</v>
      </c>
      <c r="U25" s="4">
        <v>169195.85</v>
      </c>
      <c r="AJ25" s="2" t="s">
        <v>13</v>
      </c>
      <c r="AK25" s="2" t="s">
        <v>10</v>
      </c>
      <c r="AL25" s="2" t="s">
        <v>10</v>
      </c>
      <c r="AM25" s="2" t="s">
        <v>13</v>
      </c>
      <c r="AN25" s="5" t="s">
        <v>10</v>
      </c>
    </row>
    <row r="26" spans="1:40" ht="12.75">
      <c r="A26" s="4" t="s">
        <v>4</v>
      </c>
      <c r="B26" s="4">
        <v>182992.50999999998</v>
      </c>
      <c r="C26" s="4">
        <f>224+20</f>
        <v>244</v>
      </c>
      <c r="D26" s="4">
        <f>521503.35+D35</f>
        <v>568066.15</v>
      </c>
      <c r="E26" s="19">
        <f>821119.76+110000</f>
        <v>931119.76</v>
      </c>
      <c r="F26" s="4">
        <f t="shared" si="16"/>
        <v>-180061.09999999998</v>
      </c>
      <c r="G26" s="4">
        <v>30</v>
      </c>
      <c r="H26" s="4">
        <v>66948.48</v>
      </c>
      <c r="I26" s="4">
        <v>82</v>
      </c>
      <c r="J26" s="4">
        <v>182992.51</v>
      </c>
      <c r="K26" s="4">
        <v>46</v>
      </c>
      <c r="L26" s="4">
        <v>102654.34</v>
      </c>
      <c r="M26" s="4">
        <f t="shared" si="17"/>
        <v>402</v>
      </c>
      <c r="N26" s="4">
        <f t="shared" si="17"/>
        <v>920661.48</v>
      </c>
      <c r="O26" s="4">
        <f t="shared" si="18"/>
        <v>931119.76</v>
      </c>
      <c r="P26" s="4">
        <f t="shared" si="19"/>
        <v>172534.22999999998</v>
      </c>
      <c r="T26" s="4">
        <v>46</v>
      </c>
      <c r="U26" s="4">
        <v>128754.34</v>
      </c>
      <c r="AJ26" s="4">
        <v>107</v>
      </c>
      <c r="AK26" s="4">
        <v>274302.37</v>
      </c>
      <c r="AL26" s="6">
        <v>405000</v>
      </c>
      <c r="AM26" s="19" t="e">
        <f>AH26+AJ26-#REF!</f>
        <v>#REF!</v>
      </c>
      <c r="AN26" s="6">
        <f aca="true" t="shared" si="20" ref="AN26:AN31">AI26+AK26-AL26</f>
        <v>-130697.63</v>
      </c>
    </row>
    <row r="27" spans="1:40" ht="12.75">
      <c r="A27" s="4" t="s">
        <v>5</v>
      </c>
      <c r="B27" s="4">
        <v>385673.3999999999</v>
      </c>
      <c r="C27" s="4">
        <f>258+56</f>
        <v>314</v>
      </c>
      <c r="D27" s="4">
        <f>686536.55+D36</f>
        <v>835552.24</v>
      </c>
      <c r="E27" s="19">
        <f>922469.59+29445.07+140000</f>
        <v>1091914.66</v>
      </c>
      <c r="F27" s="4">
        <f t="shared" si="16"/>
        <v>129310.97999999998</v>
      </c>
      <c r="G27" s="4">
        <v>33</v>
      </c>
      <c r="H27" s="4">
        <v>84267.52</v>
      </c>
      <c r="I27" s="4">
        <v>88</v>
      </c>
      <c r="J27" s="4">
        <v>225673.4</v>
      </c>
      <c r="K27" s="4">
        <v>123</v>
      </c>
      <c r="L27" s="4">
        <v>315429.86</v>
      </c>
      <c r="M27" s="4">
        <f t="shared" si="17"/>
        <v>558</v>
      </c>
      <c r="N27" s="4">
        <f t="shared" si="17"/>
        <v>1460923.02</v>
      </c>
      <c r="O27" s="4">
        <f t="shared" si="18"/>
        <v>1091914.66</v>
      </c>
      <c r="P27" s="4">
        <f t="shared" si="19"/>
        <v>754681.76</v>
      </c>
      <c r="T27" s="4">
        <v>50</v>
      </c>
      <c r="U27" s="4">
        <v>116407</v>
      </c>
      <c r="AJ27" s="4">
        <v>92</v>
      </c>
      <c r="AK27" s="4">
        <v>257508.66</v>
      </c>
      <c r="AL27" s="39">
        <v>293000</v>
      </c>
      <c r="AM27" s="19" t="e">
        <f>AH27+AJ27-#REF!</f>
        <v>#REF!</v>
      </c>
      <c r="AN27" s="6">
        <f t="shared" si="20"/>
        <v>-35491.34</v>
      </c>
    </row>
    <row r="28" spans="1:40" ht="12.75">
      <c r="A28" s="4" t="s">
        <v>6</v>
      </c>
      <c r="B28" s="4">
        <v>326609.28</v>
      </c>
      <c r="C28" s="4">
        <f>218+30</f>
        <v>248</v>
      </c>
      <c r="D28" s="4">
        <f>711062.83+D37</f>
        <v>808915.51</v>
      </c>
      <c r="E28" s="19">
        <f>1125556+250000</f>
        <v>1375556</v>
      </c>
      <c r="F28" s="4">
        <f t="shared" si="16"/>
        <v>-240031.20999999996</v>
      </c>
      <c r="G28" s="4">
        <v>60</v>
      </c>
      <c r="H28" s="4">
        <v>189913.92</v>
      </c>
      <c r="I28" s="4">
        <v>40</v>
      </c>
      <c r="J28" s="4">
        <v>126609.28</v>
      </c>
      <c r="K28" s="4">
        <v>140</v>
      </c>
      <c r="L28" s="4">
        <v>443132.48</v>
      </c>
      <c r="M28" s="4">
        <f t="shared" si="17"/>
        <v>488</v>
      </c>
      <c r="N28" s="4">
        <f t="shared" si="17"/>
        <v>1568571.19</v>
      </c>
      <c r="O28" s="4">
        <f t="shared" si="18"/>
        <v>1375556</v>
      </c>
      <c r="P28" s="4">
        <f t="shared" si="19"/>
        <v>519624.47</v>
      </c>
      <c r="T28" s="4">
        <v>53</v>
      </c>
      <c r="U28" s="4">
        <v>141032.7</v>
      </c>
      <c r="AJ28" s="4">
        <v>110</v>
      </c>
      <c r="AK28" s="4">
        <v>256095.4</v>
      </c>
      <c r="AL28" s="6">
        <v>271000</v>
      </c>
      <c r="AM28" s="19" t="e">
        <f>AH28+AJ28-#REF!</f>
        <v>#REF!</v>
      </c>
      <c r="AN28" s="6">
        <f t="shared" si="20"/>
        <v>-14904.600000000006</v>
      </c>
    </row>
    <row r="29" spans="1:40" ht="12.75">
      <c r="A29" s="4" t="s">
        <v>43</v>
      </c>
      <c r="B29" s="4">
        <v>608832.8600000001</v>
      </c>
      <c r="C29" s="4">
        <f>388+92</f>
        <v>480</v>
      </c>
      <c r="D29" s="4">
        <f>1234061.95+D38</f>
        <v>1526674.5699999998</v>
      </c>
      <c r="E29" s="19">
        <f>1773892.01+29445.07+600000</f>
        <v>2403337.08</v>
      </c>
      <c r="F29" s="4">
        <f t="shared" si="16"/>
        <v>-267829.6500000004</v>
      </c>
      <c r="G29" s="4">
        <v>69</v>
      </c>
      <c r="H29" s="4">
        <v>212799.32</v>
      </c>
      <c r="I29" s="4">
        <v>136</v>
      </c>
      <c r="J29" s="4">
        <v>419430.52</v>
      </c>
      <c r="K29" s="4">
        <v>138</v>
      </c>
      <c r="L29" s="4">
        <f>425598.62+140030.24</f>
        <v>565628.86</v>
      </c>
      <c r="M29" s="4">
        <f t="shared" si="17"/>
        <v>823</v>
      </c>
      <c r="N29" s="4">
        <f t="shared" si="17"/>
        <v>2724533.27</v>
      </c>
      <c r="O29" s="4">
        <f t="shared" si="18"/>
        <v>2403337.08</v>
      </c>
      <c r="P29" s="4">
        <f t="shared" si="19"/>
        <v>930029.0499999998</v>
      </c>
      <c r="T29" s="4">
        <v>60</v>
      </c>
      <c r="U29" s="4">
        <v>195705.36</v>
      </c>
      <c r="AJ29" s="4">
        <v>135</v>
      </c>
      <c r="AK29" s="4">
        <v>359234.24</v>
      </c>
      <c r="AL29" s="6">
        <v>385000</v>
      </c>
      <c r="AM29" s="19" t="e">
        <f>AH29+AJ29-#REF!</f>
        <v>#REF!</v>
      </c>
      <c r="AN29" s="6">
        <f t="shared" si="20"/>
        <v>-25765.76000000001</v>
      </c>
    </row>
    <row r="30" spans="1:40" ht="12.75">
      <c r="A30" s="2" t="s">
        <v>7</v>
      </c>
      <c r="B30" s="2">
        <f>SUM(B24:B29)</f>
        <v>1981860.24</v>
      </c>
      <c r="C30" s="4">
        <f>SUM(C24:C29)</f>
        <v>1777</v>
      </c>
      <c r="D30" s="4">
        <f>SUM(D24:D29)</f>
        <v>5054427.139999999</v>
      </c>
      <c r="E30" s="4">
        <f>SUM(E24:E29)</f>
        <v>7808959.21</v>
      </c>
      <c r="F30" s="4">
        <v>0</v>
      </c>
      <c r="G30" s="4">
        <f>SUM(G24:G29)</f>
        <v>256</v>
      </c>
      <c r="H30" s="4">
        <f>SUM(H24:H29)</f>
        <v>717235.3800000001</v>
      </c>
      <c r="I30" s="4">
        <f>SUM(I24:I29)</f>
        <v>452</v>
      </c>
      <c r="J30" s="4">
        <f aca="true" t="shared" si="21" ref="J30:P30">SUM(J24:J29)</f>
        <v>1232457.8900000001</v>
      </c>
      <c r="K30" s="4">
        <f t="shared" si="21"/>
        <v>637</v>
      </c>
      <c r="L30" s="4">
        <f t="shared" si="21"/>
        <v>1917244.8599999999</v>
      </c>
      <c r="M30" s="4">
        <f t="shared" si="21"/>
        <v>3122</v>
      </c>
      <c r="N30" s="4">
        <f t="shared" si="21"/>
        <v>8921365.27</v>
      </c>
      <c r="O30" s="4">
        <f t="shared" si="21"/>
        <v>7808959.21</v>
      </c>
      <c r="P30" s="4">
        <f t="shared" si="21"/>
        <v>3094266.3</v>
      </c>
      <c r="T30" s="4">
        <v>92</v>
      </c>
      <c r="U30" s="4">
        <v>292612.63</v>
      </c>
      <c r="AJ30" s="4">
        <v>86</v>
      </c>
      <c r="AK30" s="4">
        <v>280511.02</v>
      </c>
      <c r="AL30" s="6">
        <v>513000</v>
      </c>
      <c r="AM30" s="19" t="e">
        <f>AH30+AJ30-#REF!</f>
        <v>#REF!</v>
      </c>
      <c r="AN30" s="6">
        <f t="shared" si="20"/>
        <v>-232488.97999999998</v>
      </c>
    </row>
    <row r="31" spans="6:40" ht="12.75">
      <c r="F31" s="14"/>
      <c r="T31">
        <f>SUM(T25:T30)</f>
        <v>367</v>
      </c>
      <c r="U31">
        <f>SUM(U25:U30)</f>
        <v>1043707.88</v>
      </c>
      <c r="AJ31" s="4">
        <v>31</v>
      </c>
      <c r="AK31" s="4">
        <v>98597.74</v>
      </c>
      <c r="AL31" s="6">
        <v>860000</v>
      </c>
      <c r="AM31" s="19" t="e">
        <f>AH31+AJ31-#REF!</f>
        <v>#REF!</v>
      </c>
      <c r="AN31" s="6">
        <f t="shared" si="20"/>
        <v>-761402.26</v>
      </c>
    </row>
    <row r="32" spans="36:40" ht="12.75">
      <c r="AJ32" s="2">
        <f>AJ26+AJ27+AJ28+AJ29+AJ30+AJ31</f>
        <v>561</v>
      </c>
      <c r="AK32" s="2">
        <f>AK26+AK27+AK28+AK29+AK30+AK31</f>
        <v>1526249.43</v>
      </c>
      <c r="AL32" s="2">
        <f>AL26+AL27+AL28+AL29+AL30+AL31</f>
        <v>2727000</v>
      </c>
      <c r="AM32" s="2" t="e">
        <f>AM26+AM27+AM28+AM29+AM30+AM31</f>
        <v>#REF!</v>
      </c>
      <c r="AN32" s="2">
        <f>AN26+AN27+AN28+AN29+AN30+AN31</f>
        <v>-1200750.57</v>
      </c>
    </row>
    <row r="33" spans="3:6" ht="12.75">
      <c r="C33" s="4">
        <v>30</v>
      </c>
      <c r="D33" s="4">
        <v>76907.21</v>
      </c>
      <c r="E33" s="4">
        <v>20</v>
      </c>
      <c r="F33" s="4">
        <v>46562.8</v>
      </c>
    </row>
    <row r="34" spans="3:6" ht="12.75">
      <c r="C34" s="4">
        <v>23</v>
      </c>
      <c r="D34" s="4">
        <v>64377.17</v>
      </c>
      <c r="E34" s="4">
        <v>15</v>
      </c>
      <c r="F34" s="4">
        <v>40952.63</v>
      </c>
    </row>
    <row r="35" spans="3:6" ht="12.75">
      <c r="C35" s="4">
        <v>20</v>
      </c>
      <c r="D35" s="4">
        <v>46562.8</v>
      </c>
      <c r="E35" s="4">
        <v>10</v>
      </c>
      <c r="F35" s="4">
        <v>35947.25</v>
      </c>
    </row>
    <row r="36" spans="3:6" ht="12.75">
      <c r="C36" s="4">
        <v>56</v>
      </c>
      <c r="D36" s="4">
        <v>149015.69</v>
      </c>
      <c r="E36" s="4">
        <v>30</v>
      </c>
      <c r="F36" s="4">
        <v>82510.05</v>
      </c>
    </row>
    <row r="37" spans="3:6" ht="12.75">
      <c r="C37" s="4">
        <v>30</v>
      </c>
      <c r="D37" s="4">
        <v>97852.68</v>
      </c>
      <c r="E37" s="4">
        <v>20</v>
      </c>
      <c r="F37" s="4">
        <v>46562.8</v>
      </c>
    </row>
    <row r="38" spans="3:6" ht="12.75" customHeight="1">
      <c r="C38" s="4">
        <v>92</v>
      </c>
      <c r="D38" s="4">
        <f>292643.54-30.92</f>
        <v>292612.62</v>
      </c>
      <c r="E38" s="4">
        <v>46</v>
      </c>
      <c r="F38" s="4">
        <v>127197.9</v>
      </c>
    </row>
    <row r="39" ht="12.75">
      <c r="D39">
        <f>SUM(D33:D38)</f>
        <v>727328.1699999999</v>
      </c>
    </row>
  </sheetData>
  <sheetProtection/>
  <mergeCells count="31">
    <mergeCell ref="AE4:AE6"/>
    <mergeCell ref="X5:Y5"/>
    <mergeCell ref="Z5:AA5"/>
    <mergeCell ref="AJ23:AL23"/>
    <mergeCell ref="AM23:AN24"/>
    <mergeCell ref="K5:L5"/>
    <mergeCell ref="G4:L4"/>
    <mergeCell ref="G5:H5"/>
    <mergeCell ref="AM7:AN7"/>
    <mergeCell ref="P21:P23"/>
    <mergeCell ref="O21:O22"/>
    <mergeCell ref="M21:N22"/>
    <mergeCell ref="G21:L21"/>
    <mergeCell ref="AQ7:AQ8"/>
    <mergeCell ref="AR7:AR9"/>
    <mergeCell ref="AM8:AN8"/>
    <mergeCell ref="F21:F22"/>
    <mergeCell ref="K22:L22"/>
    <mergeCell ref="I22:J22"/>
    <mergeCell ref="G22:H22"/>
    <mergeCell ref="AL7:AL8"/>
    <mergeCell ref="F4:F5"/>
    <mergeCell ref="M4:N5"/>
    <mergeCell ref="O4:O5"/>
    <mergeCell ref="P4:P6"/>
    <mergeCell ref="I5:J5"/>
    <mergeCell ref="AO7:AP8"/>
    <mergeCell ref="W4:W5"/>
    <mergeCell ref="X4:AA4"/>
    <mergeCell ref="AB4:AC5"/>
    <mergeCell ref="AD4:AD5"/>
  </mergeCells>
  <printOptions/>
  <pageMargins left="0.5118110236220472" right="0.1968503937007874" top="0.7480314960629921" bottom="0.7480314960629921" header="0.31496062992125984" footer="0.31496062992125984"/>
  <pageSetup horizontalDpi="600" verticalDpi="600" orientation="landscape" paperSize="9" scale="59" r:id="rId1"/>
  <colBreaks count="2" manualBreakCount="2">
    <brk id="30" max="61" man="1"/>
    <brk id="47" max="6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O11" sqref="O11:O12"/>
    </sheetView>
  </sheetViews>
  <sheetFormatPr defaultColWidth="9.00390625" defaultRowHeight="12.75"/>
  <cols>
    <col min="1" max="1" width="24.375" style="0" customWidth="1"/>
    <col min="2" max="2" width="13.25390625" style="0" customWidth="1"/>
    <col min="4" max="4" width="12.125" style="0" customWidth="1"/>
    <col min="5" max="5" width="13.625" style="0" customWidth="1"/>
    <col min="6" max="6" width="16.75390625" style="0" customWidth="1"/>
    <col min="12" max="12" width="14.125" style="0" customWidth="1"/>
    <col min="13" max="13" width="12.125" style="0" customWidth="1"/>
    <col min="14" max="14" width="13.375" style="0" customWidth="1"/>
    <col min="15" max="15" width="11.75390625" style="0" customWidth="1"/>
  </cols>
  <sheetData>
    <row r="1" spans="1:14" ht="12.75">
      <c r="A1" s="11"/>
      <c r="B1" s="12" t="s">
        <v>21</v>
      </c>
      <c r="C1" s="11" t="s">
        <v>44</v>
      </c>
      <c r="D1" s="23"/>
      <c r="E1" s="28"/>
      <c r="F1" s="85" t="s">
        <v>48</v>
      </c>
      <c r="G1" s="67"/>
      <c r="H1" s="67"/>
      <c r="I1" s="67"/>
      <c r="J1" s="67"/>
      <c r="K1" s="79" t="s">
        <v>26</v>
      </c>
      <c r="L1" s="69"/>
      <c r="M1" s="88" t="s">
        <v>27</v>
      </c>
      <c r="N1" s="85" t="s">
        <v>46</v>
      </c>
    </row>
    <row r="2" spans="1:14" ht="12.75">
      <c r="A2" s="11" t="s">
        <v>1</v>
      </c>
      <c r="B2" s="21" t="s">
        <v>42</v>
      </c>
      <c r="C2" s="10"/>
      <c r="D2" s="10"/>
      <c r="E2" s="29" t="s">
        <v>11</v>
      </c>
      <c r="F2" s="108"/>
      <c r="G2" s="67" t="s">
        <v>22</v>
      </c>
      <c r="H2" s="67"/>
      <c r="I2" s="109" t="s">
        <v>23</v>
      </c>
      <c r="J2" s="109"/>
      <c r="K2" s="70"/>
      <c r="L2" s="71"/>
      <c r="M2" s="88"/>
      <c r="N2" s="101"/>
    </row>
    <row r="3" spans="1:14" ht="12.75">
      <c r="A3" s="3"/>
      <c r="B3" s="4" t="s">
        <v>10</v>
      </c>
      <c r="C3" s="4" t="s">
        <v>13</v>
      </c>
      <c r="D3" s="4" t="s">
        <v>10</v>
      </c>
      <c r="E3" s="19" t="s">
        <v>10</v>
      </c>
      <c r="F3" s="4" t="s">
        <v>24</v>
      </c>
      <c r="G3" s="4" t="s">
        <v>14</v>
      </c>
      <c r="H3" s="4" t="s">
        <v>24</v>
      </c>
      <c r="I3" s="4" t="s">
        <v>14</v>
      </c>
      <c r="J3" s="4" t="s">
        <v>24</v>
      </c>
      <c r="K3" s="4" t="s">
        <v>14</v>
      </c>
      <c r="L3" s="4" t="s">
        <v>24</v>
      </c>
      <c r="M3" s="33" t="s">
        <v>24</v>
      </c>
      <c r="N3" s="102"/>
    </row>
    <row r="4" spans="1:15" ht="12.75">
      <c r="A4" s="4" t="s">
        <v>15</v>
      </c>
      <c r="B4" s="4">
        <v>-153095.2</v>
      </c>
      <c r="C4" s="4">
        <f>163+23+41</f>
        <v>227</v>
      </c>
      <c r="D4" s="4">
        <f>402129.07+56742.14+101149.03</f>
        <v>560020.24</v>
      </c>
      <c r="E4" s="19">
        <f>100072.89+106643+20000+137891.17</f>
        <v>364607.06000000006</v>
      </c>
      <c r="F4" s="4">
        <f aca="true" t="shared" si="0" ref="F4:F9">B4+D4-E4</f>
        <v>42317.97999999992</v>
      </c>
      <c r="G4" s="4">
        <v>90</v>
      </c>
      <c r="H4" s="4">
        <f>(90*1379.18)+(134*15*8.12)</f>
        <v>140447.40000000002</v>
      </c>
      <c r="I4" s="4">
        <v>183</v>
      </c>
      <c r="J4" s="4">
        <f>(183*1379.18)+(134*15*8.12)</f>
        <v>268711.14</v>
      </c>
      <c r="K4" s="4">
        <f aca="true" t="shared" si="1" ref="K4:L9">C4+G4+I4</f>
        <v>500</v>
      </c>
      <c r="L4" s="4">
        <f t="shared" si="1"/>
        <v>969178.78</v>
      </c>
      <c r="M4" s="4">
        <f aca="true" t="shared" si="2" ref="M4:M9">E4</f>
        <v>364607.06000000006</v>
      </c>
      <c r="N4" s="4">
        <f aca="true" t="shared" si="3" ref="N4:N9">B4+L4-M4</f>
        <v>451476.52</v>
      </c>
      <c r="O4" s="7">
        <f>N4*70%-4792.18</f>
        <v>311241.384</v>
      </c>
    </row>
    <row r="5" spans="1:15" ht="12.75">
      <c r="A5" s="4" t="s">
        <v>3</v>
      </c>
      <c r="B5" s="4">
        <v>-62401.46</v>
      </c>
      <c r="C5" s="4">
        <f>164+23+23</f>
        <v>210</v>
      </c>
      <c r="D5" s="4">
        <f>443207.25+62157.11+62157.11</f>
        <v>567521.47</v>
      </c>
      <c r="E5" s="19">
        <f>273861.97+106643+20000+104314.22</f>
        <v>504819.18999999994</v>
      </c>
      <c r="F5" s="4">
        <f t="shared" si="0"/>
        <v>300.820000000007</v>
      </c>
      <c r="G5" s="4">
        <v>90</v>
      </c>
      <c r="H5" s="4">
        <f>(90*1379.18)+(163*15*8.12)</f>
        <v>143979.6</v>
      </c>
      <c r="I5" s="4">
        <v>183</v>
      </c>
      <c r="J5" s="4">
        <f>(183*1379.18)+(163*15*8.12)</f>
        <v>272243.34</v>
      </c>
      <c r="K5" s="4">
        <f t="shared" si="1"/>
        <v>483</v>
      </c>
      <c r="L5" s="4">
        <f t="shared" si="1"/>
        <v>983744.4099999999</v>
      </c>
      <c r="M5" s="4">
        <f t="shared" si="2"/>
        <v>504819.18999999994</v>
      </c>
      <c r="N5" s="4">
        <f t="shared" si="3"/>
        <v>416523.76</v>
      </c>
      <c r="O5" s="7"/>
    </row>
    <row r="6" spans="1:15" ht="12.75">
      <c r="A6" s="4" t="s">
        <v>4</v>
      </c>
      <c r="B6" s="4">
        <v>-181011.12</v>
      </c>
      <c r="C6" s="4">
        <f>132+30</f>
        <v>162</v>
      </c>
      <c r="D6" s="4">
        <f>294573.32+66948.48</f>
        <v>361521.8</v>
      </c>
      <c r="E6" s="19">
        <f>100072.89+106643+20000+46948.48</f>
        <v>273664.37</v>
      </c>
      <c r="F6" s="4">
        <f t="shared" si="0"/>
        <v>-93153.69</v>
      </c>
      <c r="G6" s="4">
        <v>90</v>
      </c>
      <c r="H6" s="4">
        <f>(90*1379.18)+(105*15*8.12)</f>
        <v>136915.2</v>
      </c>
      <c r="I6" s="4">
        <v>183</v>
      </c>
      <c r="J6" s="4">
        <f>(183*1379.18)+(105*15*8.12)</f>
        <v>265178.94</v>
      </c>
      <c r="K6" s="4">
        <f t="shared" si="1"/>
        <v>435</v>
      </c>
      <c r="L6" s="4">
        <f t="shared" si="1"/>
        <v>763615.94</v>
      </c>
      <c r="M6" s="4">
        <f t="shared" si="2"/>
        <v>273664.37</v>
      </c>
      <c r="N6" s="4">
        <f t="shared" si="3"/>
        <v>308940.44999999995</v>
      </c>
      <c r="O6" s="7"/>
    </row>
    <row r="7" spans="1:15" ht="12.75">
      <c r="A7" s="4" t="s">
        <v>5</v>
      </c>
      <c r="B7" s="4">
        <v>-196789.76</v>
      </c>
      <c r="C7" s="4">
        <f>219+23+33</f>
        <v>275</v>
      </c>
      <c r="D7" s="4">
        <f>561619.029+58982.82+84627.52</f>
        <v>705229.369</v>
      </c>
      <c r="E7" s="19">
        <f>325919.33+106643+20000+123610.34</f>
        <v>576172.67</v>
      </c>
      <c r="F7" s="4">
        <f t="shared" si="0"/>
        <v>-67733.0610000001</v>
      </c>
      <c r="G7" s="4">
        <v>90</v>
      </c>
      <c r="H7" s="4">
        <f>(90*1379.18)+(146*15*8.12)</f>
        <v>141909</v>
      </c>
      <c r="I7" s="4">
        <v>183</v>
      </c>
      <c r="J7" s="4">
        <f>(183*1379.18)+(146*15*8.12)</f>
        <v>270172.74</v>
      </c>
      <c r="K7" s="4">
        <f t="shared" si="1"/>
        <v>548</v>
      </c>
      <c r="L7" s="4">
        <f t="shared" si="1"/>
        <v>1117311.109</v>
      </c>
      <c r="M7" s="4">
        <f t="shared" si="2"/>
        <v>576172.67</v>
      </c>
      <c r="N7" s="4">
        <f t="shared" si="3"/>
        <v>344348.6789999999</v>
      </c>
      <c r="O7" s="7">
        <f>N7*70%</f>
        <v>241044.0752999999</v>
      </c>
    </row>
    <row r="8" spans="1:15" ht="12.75">
      <c r="A8" s="4" t="s">
        <v>6</v>
      </c>
      <c r="B8" s="4">
        <v>-162036.28</v>
      </c>
      <c r="C8" s="4">
        <f>150+10+60</f>
        <v>220</v>
      </c>
      <c r="D8" s="4">
        <f>474784.8+31652.32+189913.92</f>
        <v>696351.04</v>
      </c>
      <c r="E8" s="19">
        <f>100072.92+106643+20000+201566.24</f>
        <v>428282.16</v>
      </c>
      <c r="F8" s="4">
        <f t="shared" si="0"/>
        <v>106032.60000000003</v>
      </c>
      <c r="G8" s="4">
        <v>90</v>
      </c>
      <c r="H8" s="4">
        <f>(90*1379.18)+(220*15*8.12)</f>
        <v>150922.2</v>
      </c>
      <c r="I8" s="4">
        <v>183</v>
      </c>
      <c r="J8" s="4">
        <f>(183*1379.18)+(220*15*8.12)</f>
        <v>279185.94</v>
      </c>
      <c r="K8" s="4">
        <f t="shared" si="1"/>
        <v>493</v>
      </c>
      <c r="L8" s="4">
        <f t="shared" si="1"/>
        <v>1126459.18</v>
      </c>
      <c r="M8" s="4">
        <f t="shared" si="2"/>
        <v>428282.16</v>
      </c>
      <c r="N8" s="4">
        <f t="shared" si="3"/>
        <v>536140.74</v>
      </c>
      <c r="O8" s="7"/>
    </row>
    <row r="9" spans="1:15" ht="12.75">
      <c r="A9" s="4" t="s">
        <v>43</v>
      </c>
      <c r="B9" s="4"/>
      <c r="C9" s="4">
        <f>23+69</f>
        <v>92</v>
      </c>
      <c r="D9" s="4">
        <f>70933.11+212799.32-0.01</f>
        <v>283732.42</v>
      </c>
      <c r="E9" s="19">
        <f>20000+251497.07</f>
        <v>271497.07</v>
      </c>
      <c r="F9" s="4">
        <f t="shared" si="0"/>
        <v>12235.349999999977</v>
      </c>
      <c r="G9" s="4">
        <v>180</v>
      </c>
      <c r="H9" s="4">
        <f>(180*1379.18)+(207*15*8.12)</f>
        <v>273465</v>
      </c>
      <c r="I9" s="4">
        <v>372</v>
      </c>
      <c r="J9" s="4">
        <f>(372*1379.18)+(207*15*8.12)</f>
        <v>538267.56</v>
      </c>
      <c r="K9" s="4">
        <f t="shared" si="1"/>
        <v>644</v>
      </c>
      <c r="L9" s="4">
        <f t="shared" si="1"/>
        <v>1095464.98</v>
      </c>
      <c r="M9" s="4">
        <f t="shared" si="2"/>
        <v>271497.07</v>
      </c>
      <c r="N9" s="4">
        <f t="shared" si="3"/>
        <v>823967.9099999999</v>
      </c>
      <c r="O9" s="7">
        <f>N9*70%</f>
        <v>576777.5369999999</v>
      </c>
    </row>
    <row r="10" spans="1:15" ht="12.75">
      <c r="A10" s="2" t="s">
        <v>7</v>
      </c>
      <c r="B10" s="2">
        <f>SUM(B4:B8)</f>
        <v>-755333.8200000001</v>
      </c>
      <c r="C10" s="2">
        <f>SUM(C4:C8)</f>
        <v>1094</v>
      </c>
      <c r="D10" s="34">
        <f aca="true" t="shared" si="4" ref="D10:J10">SUM(D4:D9)</f>
        <v>3174376.3389999997</v>
      </c>
      <c r="E10" s="11">
        <f t="shared" si="4"/>
        <v>2419042.52</v>
      </c>
      <c r="F10" s="6">
        <f t="shared" si="4"/>
        <v>-0.0010000001639127731</v>
      </c>
      <c r="G10" s="4">
        <f t="shared" si="4"/>
        <v>630</v>
      </c>
      <c r="H10" s="4">
        <f t="shared" si="4"/>
        <v>987638.3999999999</v>
      </c>
      <c r="I10" s="4">
        <f t="shared" si="4"/>
        <v>1287</v>
      </c>
      <c r="J10" s="4">
        <f t="shared" si="4"/>
        <v>1893759.66</v>
      </c>
      <c r="K10" s="4">
        <f>SUM(K4:K8)</f>
        <v>2459</v>
      </c>
      <c r="L10" s="6">
        <f>SUM(L4:L8)</f>
        <v>4960309.419</v>
      </c>
      <c r="M10" s="4">
        <f>SUM(M4:M9)</f>
        <v>2419042.52</v>
      </c>
      <c r="N10" s="4">
        <f>SUM(N4:N9)</f>
        <v>2881398.059</v>
      </c>
      <c r="O10" s="7">
        <f>SUM(O4:O9)</f>
        <v>1129062.9962999998</v>
      </c>
    </row>
    <row r="11" spans="9:15" ht="12.75">
      <c r="I11" t="s">
        <v>45</v>
      </c>
      <c r="O11" s="7"/>
    </row>
    <row r="12" ht="12.75">
      <c r="O12" s="7"/>
    </row>
  </sheetData>
  <sheetProtection/>
  <mergeCells count="7">
    <mergeCell ref="N1:N3"/>
    <mergeCell ref="G2:H2"/>
    <mergeCell ref="I2:J2"/>
    <mergeCell ref="F1:F2"/>
    <mergeCell ref="G1:J1"/>
    <mergeCell ref="K1:L2"/>
    <mergeCell ref="M1:M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7.875" style="0" customWidth="1"/>
    <col min="2" max="2" width="8.75390625" style="0" customWidth="1"/>
    <col min="3" max="3" width="17.125" style="0" customWidth="1"/>
    <col min="4" max="4" width="8.625" style="0" customWidth="1"/>
    <col min="5" max="5" width="18.875" style="0" customWidth="1"/>
    <col min="6" max="7" width="13.875" style="0" customWidth="1"/>
    <col min="9" max="9" width="10.875" style="0" customWidth="1"/>
    <col min="10" max="10" width="9.75390625" style="0" customWidth="1"/>
    <col min="11" max="11" width="13.375" style="0" customWidth="1"/>
    <col min="12" max="12" width="13.625" style="0" customWidth="1"/>
    <col min="13" max="13" width="15.00390625" style="0" customWidth="1"/>
  </cols>
  <sheetData>
    <row r="1" ht="12.75">
      <c r="D1" t="s">
        <v>49</v>
      </c>
    </row>
    <row r="3" spans="1:13" ht="12.75">
      <c r="A3" s="110" t="s">
        <v>1</v>
      </c>
      <c r="B3" s="110" t="s">
        <v>13</v>
      </c>
      <c r="C3" s="12" t="s">
        <v>21</v>
      </c>
      <c r="D3" s="36" t="s">
        <v>50</v>
      </c>
      <c r="E3" s="37"/>
      <c r="F3" s="28"/>
      <c r="G3" s="85" t="s">
        <v>51</v>
      </c>
      <c r="H3" s="67"/>
      <c r="I3" s="67"/>
      <c r="J3" s="79" t="s">
        <v>26</v>
      </c>
      <c r="K3" s="69"/>
      <c r="L3" s="88" t="s">
        <v>27</v>
      </c>
      <c r="M3" s="85" t="s">
        <v>46</v>
      </c>
    </row>
    <row r="4" spans="1:13" ht="12.75">
      <c r="A4" s="86"/>
      <c r="B4" s="86"/>
      <c r="C4" s="21" t="s">
        <v>42</v>
      </c>
      <c r="D4" s="10"/>
      <c r="E4" s="10"/>
      <c r="F4" s="29" t="s">
        <v>11</v>
      </c>
      <c r="G4" s="108"/>
      <c r="H4" s="109" t="s">
        <v>23</v>
      </c>
      <c r="I4" s="109"/>
      <c r="J4" s="70"/>
      <c r="K4" s="71"/>
      <c r="L4" s="88"/>
      <c r="M4" s="101"/>
    </row>
    <row r="5" spans="1:13" ht="12.75">
      <c r="A5" s="87"/>
      <c r="B5" s="87"/>
      <c r="C5" s="4" t="s">
        <v>10</v>
      </c>
      <c r="D5" s="4" t="s">
        <v>13</v>
      </c>
      <c r="E5" s="4" t="s">
        <v>10</v>
      </c>
      <c r="F5" s="19" t="s">
        <v>10</v>
      </c>
      <c r="G5" s="4" t="s">
        <v>24</v>
      </c>
      <c r="H5" s="4" t="s">
        <v>14</v>
      </c>
      <c r="I5" s="4" t="s">
        <v>24</v>
      </c>
      <c r="J5" s="4" t="s">
        <v>14</v>
      </c>
      <c r="K5" s="4" t="s">
        <v>24</v>
      </c>
      <c r="L5" s="33" t="s">
        <v>24</v>
      </c>
      <c r="M5" s="102"/>
    </row>
    <row r="6" spans="1:13" ht="12.75">
      <c r="A6" s="4" t="s">
        <v>15</v>
      </c>
      <c r="B6" s="4">
        <v>72</v>
      </c>
      <c r="C6" s="4">
        <v>-153095.2</v>
      </c>
      <c r="D6" s="4">
        <f>163+23+41+47</f>
        <v>274</v>
      </c>
      <c r="E6" s="4">
        <f>402129.07+56742.14+101149.03+91280.84</f>
        <v>651301.08</v>
      </c>
      <c r="F6" s="19">
        <f>100072.89+106643+20000+137891.17+133598.82</f>
        <v>498205.88000000006</v>
      </c>
      <c r="G6" s="4">
        <f aca="true" t="shared" si="0" ref="G6:G11">C6+E6-F6</f>
        <v>0</v>
      </c>
      <c r="H6" s="4">
        <f>93+40</f>
        <v>133</v>
      </c>
      <c r="I6" s="4">
        <f>(133*1379.18)+(134*15*8.12)</f>
        <v>199752.14</v>
      </c>
      <c r="J6" s="4">
        <f aca="true" t="shared" si="1" ref="J6:K11">D6+H6</f>
        <v>407</v>
      </c>
      <c r="K6" s="4">
        <f t="shared" si="1"/>
        <v>851053.22</v>
      </c>
      <c r="L6" s="4">
        <f aca="true" t="shared" si="2" ref="L6:L11">F6</f>
        <v>498205.88000000006</v>
      </c>
      <c r="M6" s="4">
        <f aca="true" t="shared" si="3" ref="M6:M11">C6+K6-L6</f>
        <v>199752.13999999996</v>
      </c>
    </row>
    <row r="7" spans="1:13" ht="12.75">
      <c r="A7" s="4" t="s">
        <v>3</v>
      </c>
      <c r="B7" s="4">
        <v>54</v>
      </c>
      <c r="C7" s="4">
        <v>-62401.46</v>
      </c>
      <c r="D7" s="4">
        <f>164+23+23+69</f>
        <v>279</v>
      </c>
      <c r="E7" s="4">
        <f>443207.25+62157.11+62157.11+186471.34</f>
        <v>753992.8099999999</v>
      </c>
      <c r="F7" s="19">
        <f>273861.97+106643+20000+104314.22+186772.16</f>
        <v>691591.35</v>
      </c>
      <c r="G7" s="4">
        <f t="shared" si="0"/>
        <v>0</v>
      </c>
      <c r="H7" s="4">
        <f>93+40</f>
        <v>133</v>
      </c>
      <c r="I7" s="4">
        <f>(133*1379.18)+(163*15*8.12)</f>
        <v>203284.34</v>
      </c>
      <c r="J7" s="4">
        <f t="shared" si="1"/>
        <v>412</v>
      </c>
      <c r="K7" s="4">
        <f t="shared" si="1"/>
        <v>957277.1499999999</v>
      </c>
      <c r="L7" s="4">
        <f t="shared" si="2"/>
        <v>691591.35</v>
      </c>
      <c r="M7" s="4">
        <f t="shared" si="3"/>
        <v>203284.33999999997</v>
      </c>
    </row>
    <row r="8" spans="1:13" ht="12.75">
      <c r="A8" s="4" t="s">
        <v>4</v>
      </c>
      <c r="B8" s="4">
        <v>35</v>
      </c>
      <c r="C8" s="4">
        <v>-181011.12</v>
      </c>
      <c r="D8" s="4">
        <f>132+30+82</f>
        <v>244</v>
      </c>
      <c r="E8" s="4">
        <f>294573.32+66948.48+182992.51</f>
        <v>544514.31</v>
      </c>
      <c r="F8" s="19">
        <f>100072.89+106643+20000+46948.48+89838.82</f>
        <v>363503.19</v>
      </c>
      <c r="G8" s="4">
        <f t="shared" si="0"/>
        <v>0</v>
      </c>
      <c r="H8" s="4">
        <f>93+40</f>
        <v>133</v>
      </c>
      <c r="I8" s="4">
        <f>(183*1379.18)+(105*15*8.12)</f>
        <v>265178.94</v>
      </c>
      <c r="J8" s="4">
        <f t="shared" si="1"/>
        <v>377</v>
      </c>
      <c r="K8" s="4">
        <f t="shared" si="1"/>
        <v>809693.25</v>
      </c>
      <c r="L8" s="4">
        <f t="shared" si="2"/>
        <v>363503.19</v>
      </c>
      <c r="M8" s="4">
        <f t="shared" si="3"/>
        <v>265178.94</v>
      </c>
    </row>
    <row r="9" spans="1:13" ht="12.75">
      <c r="A9" s="4" t="s">
        <v>5</v>
      </c>
      <c r="B9" s="4">
        <v>55</v>
      </c>
      <c r="C9" s="4">
        <v>-196789.76</v>
      </c>
      <c r="D9" s="4">
        <f>219+23+33+88</f>
        <v>363</v>
      </c>
      <c r="E9" s="4">
        <f>561619.029+58982.82+84627.52+225673.4</f>
        <v>930902.769</v>
      </c>
      <c r="F9" s="19">
        <f>325919.33+106643+20000+123610.34+157940.34</f>
        <v>734113.01</v>
      </c>
      <c r="G9" s="6">
        <f t="shared" si="0"/>
        <v>-0.0010000000474974513</v>
      </c>
      <c r="H9" s="4">
        <f>93+40</f>
        <v>133</v>
      </c>
      <c r="I9" s="4">
        <f>(183*1379.18)+(146*15*8.12)</f>
        <v>270172.74</v>
      </c>
      <c r="J9" s="4">
        <f t="shared" si="1"/>
        <v>496</v>
      </c>
      <c r="K9" s="4">
        <f t="shared" si="1"/>
        <v>1201075.509</v>
      </c>
      <c r="L9" s="4">
        <f t="shared" si="2"/>
        <v>734113.01</v>
      </c>
      <c r="M9" s="4">
        <f t="shared" si="3"/>
        <v>270172.73900000006</v>
      </c>
    </row>
    <row r="10" spans="1:13" ht="12.75">
      <c r="A10" s="4" t="s">
        <v>6</v>
      </c>
      <c r="B10" s="4">
        <v>40</v>
      </c>
      <c r="C10" s="4">
        <v>-162036.28</v>
      </c>
      <c r="D10" s="4">
        <f>150+10+60+40</f>
        <v>260</v>
      </c>
      <c r="E10" s="4">
        <f>474784.8+31652.32+189913.92+126609.28</f>
        <v>822960.3200000001</v>
      </c>
      <c r="F10" s="19">
        <f>100072.92+106643+20000+201566.24+232641.88</f>
        <v>660924.04</v>
      </c>
      <c r="G10" s="4">
        <f t="shared" si="0"/>
        <v>0</v>
      </c>
      <c r="H10" s="4">
        <f>93+40</f>
        <v>133</v>
      </c>
      <c r="I10" s="4">
        <f>(183*1379.18)+(220*15*8.12)</f>
        <v>279185.94</v>
      </c>
      <c r="J10" s="4">
        <f t="shared" si="1"/>
        <v>393</v>
      </c>
      <c r="K10" s="4">
        <f t="shared" si="1"/>
        <v>1102146.26</v>
      </c>
      <c r="L10" s="4">
        <f t="shared" si="2"/>
        <v>660924.04</v>
      </c>
      <c r="M10" s="4">
        <f t="shared" si="3"/>
        <v>279185.93999999994</v>
      </c>
    </row>
    <row r="11" spans="1:13" ht="12.75">
      <c r="A11" s="4" t="s">
        <v>43</v>
      </c>
      <c r="B11" s="4"/>
      <c r="C11" s="4"/>
      <c r="D11" s="4">
        <f>23+69+136</f>
        <v>228</v>
      </c>
      <c r="E11" s="4">
        <f>70933.11+212799.32-0.01+419430.52</f>
        <v>703162.94</v>
      </c>
      <c r="F11" s="19">
        <f>20000+251497.06+227020.26</f>
        <v>498517.32</v>
      </c>
      <c r="G11" s="4">
        <f t="shared" si="0"/>
        <v>204645.61999999994</v>
      </c>
      <c r="H11" s="4">
        <f>186+120</f>
        <v>306</v>
      </c>
      <c r="I11" s="4">
        <f>(372*1379.18)+(207*15*8.12)</f>
        <v>538267.56</v>
      </c>
      <c r="J11" s="4">
        <f t="shared" si="1"/>
        <v>534</v>
      </c>
      <c r="K11" s="4">
        <f t="shared" si="1"/>
        <v>1241430.5</v>
      </c>
      <c r="L11" s="4">
        <f t="shared" si="2"/>
        <v>498517.32</v>
      </c>
      <c r="M11" s="4">
        <f t="shared" si="3"/>
        <v>742913.1799999999</v>
      </c>
    </row>
    <row r="12" spans="1:13" ht="12.75">
      <c r="A12" s="2" t="s">
        <v>7</v>
      </c>
      <c r="B12" s="2"/>
      <c r="C12" s="2">
        <f>SUM(C6:C10)</f>
        <v>-755333.8200000001</v>
      </c>
      <c r="D12" s="2">
        <f>SUM(D6:D11)</f>
        <v>1648</v>
      </c>
      <c r="E12" s="34">
        <f aca="true" t="shared" si="4" ref="E12:M12">SUM(E6:E11)</f>
        <v>4406834.229</v>
      </c>
      <c r="F12" s="11">
        <f t="shared" si="4"/>
        <v>3446854.7899999996</v>
      </c>
      <c r="G12" s="35">
        <f t="shared" si="4"/>
        <v>204645.6189999999</v>
      </c>
      <c r="H12" s="11">
        <f t="shared" si="4"/>
        <v>971</v>
      </c>
      <c r="I12" s="11">
        <f t="shared" si="4"/>
        <v>1755841.66</v>
      </c>
      <c r="J12" s="11">
        <f t="shared" si="4"/>
        <v>2619</v>
      </c>
      <c r="K12" s="35">
        <f t="shared" si="4"/>
        <v>6162675.889</v>
      </c>
      <c r="L12" s="11">
        <f t="shared" si="4"/>
        <v>3446854.7899999996</v>
      </c>
      <c r="M12" s="35">
        <f t="shared" si="4"/>
        <v>1960487.2789999999</v>
      </c>
    </row>
    <row r="13" spans="8:13" ht="12.75">
      <c r="H13" t="s">
        <v>52</v>
      </c>
      <c r="M13" s="7"/>
    </row>
    <row r="14" ht="12.75">
      <c r="A14" t="s">
        <v>53</v>
      </c>
    </row>
  </sheetData>
  <sheetProtection/>
  <mergeCells count="8">
    <mergeCell ref="M3:M5"/>
    <mergeCell ref="H4:I4"/>
    <mergeCell ref="A3:A5"/>
    <mergeCell ref="B3:B5"/>
    <mergeCell ref="G3:G4"/>
    <mergeCell ref="H3:I3"/>
    <mergeCell ref="J3:K4"/>
    <mergeCell ref="L3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U15"/>
  <sheetViews>
    <sheetView zoomScalePageLayoutView="0" workbookViewId="0" topLeftCell="P1">
      <selection activeCell="A1" sqref="A1:AU15"/>
    </sheetView>
  </sheetViews>
  <sheetFormatPr defaultColWidth="9.00390625" defaultRowHeight="12.75"/>
  <cols>
    <col min="1" max="1" width="15.375" style="0" customWidth="1"/>
    <col min="2" max="2" width="6.75390625" style="0" customWidth="1"/>
    <col min="3" max="3" width="10.375" style="0" customWidth="1"/>
    <col min="4" max="4" width="5.375" style="0" customWidth="1"/>
    <col min="5" max="5" width="11.00390625" style="0" customWidth="1"/>
    <col min="6" max="6" width="4.375" style="0" customWidth="1"/>
    <col min="7" max="7" width="11.875" style="0" customWidth="1"/>
    <col min="8" max="8" width="5.75390625" style="0" customWidth="1"/>
    <col min="9" max="9" width="9.875" style="0" customWidth="1"/>
    <col min="10" max="10" width="5.875" style="0" customWidth="1"/>
    <col min="11" max="11" width="11.375" style="0" customWidth="1"/>
    <col min="12" max="12" width="4.25390625" style="0" customWidth="1"/>
    <col min="13" max="13" width="11.625" style="0" customWidth="1"/>
    <col min="14" max="14" width="5.25390625" style="0" customWidth="1"/>
    <col min="15" max="15" width="11.375" style="0" customWidth="1"/>
    <col min="16" max="16" width="5.25390625" style="0" customWidth="1"/>
    <col min="17" max="17" width="11.125" style="0" customWidth="1"/>
    <col min="18" max="18" width="4.625" style="0" customWidth="1"/>
    <col min="19" max="19" width="11.125" style="0" customWidth="1"/>
    <col min="20" max="20" width="4.875" style="0" customWidth="1"/>
    <col min="21" max="21" width="11.00390625" style="0" customWidth="1"/>
    <col min="22" max="22" width="5.625" style="0" customWidth="1"/>
    <col min="23" max="23" width="11.125" style="0" customWidth="1"/>
    <col min="24" max="24" width="5.625" style="0" customWidth="1"/>
    <col min="25" max="25" width="12.00390625" style="0" customWidth="1"/>
    <col min="26" max="26" width="5.75390625" style="0" customWidth="1"/>
    <col min="27" max="27" width="11.00390625" style="0" customWidth="1"/>
    <col min="30" max="30" width="4.75390625" style="0" customWidth="1"/>
    <col min="31" max="31" width="11.00390625" style="0" customWidth="1"/>
    <col min="36" max="36" width="5.75390625" style="0" customWidth="1"/>
    <col min="37" max="37" width="11.625" style="0" customWidth="1"/>
    <col min="39" max="39" width="13.00390625" style="0" customWidth="1"/>
    <col min="41" max="41" width="12.375" style="0" customWidth="1"/>
    <col min="45" max="45" width="13.25390625" style="0" customWidth="1"/>
    <col min="46" max="46" width="9.375" style="0" customWidth="1"/>
    <col min="47" max="47" width="10.625" style="0" customWidth="1"/>
  </cols>
  <sheetData>
    <row r="2" spans="1:3" ht="15.75">
      <c r="A2" s="1" t="s">
        <v>104</v>
      </c>
      <c r="B2" s="1"/>
      <c r="C2" s="1"/>
    </row>
    <row r="3" spans="1:3" ht="15.75">
      <c r="A3" s="1" t="s">
        <v>0</v>
      </c>
      <c r="B3" s="1"/>
      <c r="C3" s="1"/>
    </row>
    <row r="6" spans="1:47" ht="12.75" customHeight="1">
      <c r="A6" s="2"/>
      <c r="B6" s="24"/>
      <c r="C6" s="25" t="s">
        <v>91</v>
      </c>
      <c r="D6" s="23" t="s">
        <v>19</v>
      </c>
      <c r="E6" s="13"/>
      <c r="F6" s="68" t="s">
        <v>93</v>
      </c>
      <c r="G6" s="69"/>
      <c r="H6" s="15" t="s">
        <v>94</v>
      </c>
      <c r="I6" s="22"/>
      <c r="J6" s="23"/>
      <c r="K6" s="13"/>
      <c r="L6" s="68" t="s">
        <v>93</v>
      </c>
      <c r="M6" s="69"/>
      <c r="N6" s="82" t="s">
        <v>96</v>
      </c>
      <c r="O6" s="83"/>
      <c r="P6" s="83"/>
      <c r="Q6" s="84"/>
      <c r="R6" s="68" t="s">
        <v>93</v>
      </c>
      <c r="S6" s="69"/>
      <c r="T6" s="82" t="s">
        <v>97</v>
      </c>
      <c r="U6" s="83"/>
      <c r="V6" s="83"/>
      <c r="W6" s="84"/>
      <c r="X6" s="68" t="s">
        <v>93</v>
      </c>
      <c r="Y6" s="72"/>
      <c r="Z6" s="76" t="s">
        <v>98</v>
      </c>
      <c r="AA6" s="77"/>
      <c r="AB6" s="77"/>
      <c r="AC6" s="78"/>
      <c r="AD6" s="79" t="s">
        <v>93</v>
      </c>
      <c r="AE6" s="69"/>
      <c r="AF6" s="76" t="s">
        <v>99</v>
      </c>
      <c r="AG6" s="77"/>
      <c r="AH6" s="77"/>
      <c r="AI6" s="78"/>
      <c r="AJ6" s="103" t="s">
        <v>93</v>
      </c>
      <c r="AK6" s="112"/>
      <c r="AL6" s="45" t="s">
        <v>102</v>
      </c>
      <c r="AM6" s="45"/>
      <c r="AN6" s="45" t="s">
        <v>103</v>
      </c>
      <c r="AO6" s="45"/>
      <c r="AP6" s="76" t="s">
        <v>90</v>
      </c>
      <c r="AQ6" s="77"/>
      <c r="AR6" s="77"/>
      <c r="AS6" s="78"/>
      <c r="AT6" s="111" t="s">
        <v>105</v>
      </c>
      <c r="AU6" s="84"/>
    </row>
    <row r="7" spans="1:47" ht="12.75">
      <c r="A7" s="2" t="s">
        <v>1</v>
      </c>
      <c r="B7" s="20" t="s">
        <v>107</v>
      </c>
      <c r="C7" s="21"/>
      <c r="D7" s="21" t="s">
        <v>92</v>
      </c>
      <c r="E7" s="21"/>
      <c r="F7" s="70"/>
      <c r="G7" s="71"/>
      <c r="H7" s="5" t="s">
        <v>108</v>
      </c>
      <c r="I7" s="21"/>
      <c r="J7" s="21" t="s">
        <v>92</v>
      </c>
      <c r="K7" s="21"/>
      <c r="L7" s="70"/>
      <c r="M7" s="71"/>
      <c r="N7" s="5" t="s">
        <v>95</v>
      </c>
      <c r="O7" s="2"/>
      <c r="P7" s="80" t="s">
        <v>92</v>
      </c>
      <c r="Q7" s="78"/>
      <c r="R7" s="70"/>
      <c r="S7" s="71"/>
      <c r="T7" s="5" t="s">
        <v>107</v>
      </c>
      <c r="U7" s="2"/>
      <c r="V7" s="2" t="s">
        <v>92</v>
      </c>
      <c r="W7" s="11"/>
      <c r="X7" s="70"/>
      <c r="Y7" s="73"/>
      <c r="Z7" s="81" t="s">
        <v>107</v>
      </c>
      <c r="AA7" s="78"/>
      <c r="AB7" s="2" t="s">
        <v>92</v>
      </c>
      <c r="AC7" s="16"/>
      <c r="AD7" s="70"/>
      <c r="AE7" s="71"/>
      <c r="AF7" s="5" t="s">
        <v>100</v>
      </c>
      <c r="AG7" s="2"/>
      <c r="AH7" s="2" t="s">
        <v>101</v>
      </c>
      <c r="AI7" s="16"/>
      <c r="AJ7" s="105"/>
      <c r="AK7" s="113"/>
      <c r="AL7" s="46" t="s">
        <v>92</v>
      </c>
      <c r="AM7" s="46"/>
      <c r="AN7" s="46" t="s">
        <v>101</v>
      </c>
      <c r="AO7" s="46"/>
      <c r="AP7" s="5" t="s">
        <v>100</v>
      </c>
      <c r="AQ7" s="2"/>
      <c r="AR7" s="80" t="s">
        <v>101</v>
      </c>
      <c r="AS7" s="78"/>
      <c r="AT7" s="111" t="s">
        <v>106</v>
      </c>
      <c r="AU7" s="84"/>
    </row>
    <row r="8" spans="1:47" ht="12.75">
      <c r="A8" s="3"/>
      <c r="B8" s="2" t="s">
        <v>13</v>
      </c>
      <c r="C8" s="2" t="s">
        <v>10</v>
      </c>
      <c r="D8" s="2" t="s">
        <v>13</v>
      </c>
      <c r="E8" s="2" t="s">
        <v>10</v>
      </c>
      <c r="F8" s="2" t="s">
        <v>13</v>
      </c>
      <c r="G8" s="2" t="s">
        <v>10</v>
      </c>
      <c r="H8" s="2" t="s">
        <v>13</v>
      </c>
      <c r="I8" s="2" t="s">
        <v>10</v>
      </c>
      <c r="J8" s="2" t="s">
        <v>13</v>
      </c>
      <c r="K8" s="2" t="s">
        <v>10</v>
      </c>
      <c r="L8" s="2" t="s">
        <v>13</v>
      </c>
      <c r="M8" s="2" t="s">
        <v>10</v>
      </c>
      <c r="N8" s="2" t="s">
        <v>13</v>
      </c>
      <c r="O8" s="2" t="s">
        <v>10</v>
      </c>
      <c r="P8" s="2" t="s">
        <v>13</v>
      </c>
      <c r="Q8" s="2" t="s">
        <v>10</v>
      </c>
      <c r="R8" s="11" t="s">
        <v>13</v>
      </c>
      <c r="S8" s="11" t="s">
        <v>10</v>
      </c>
      <c r="T8" s="2" t="s">
        <v>13</v>
      </c>
      <c r="U8" s="2" t="s">
        <v>10</v>
      </c>
      <c r="V8" s="11"/>
      <c r="W8" s="11"/>
      <c r="X8" s="11" t="s">
        <v>13</v>
      </c>
      <c r="Y8" s="16" t="s">
        <v>10</v>
      </c>
      <c r="Z8" s="2" t="s">
        <v>13</v>
      </c>
      <c r="AA8" s="2" t="s">
        <v>10</v>
      </c>
      <c r="AB8" s="11" t="s">
        <v>13</v>
      </c>
      <c r="AC8" s="11" t="s">
        <v>24</v>
      </c>
      <c r="AD8" s="2" t="s">
        <v>13</v>
      </c>
      <c r="AE8" s="5" t="s">
        <v>10</v>
      </c>
      <c r="AF8" s="2" t="s">
        <v>13</v>
      </c>
      <c r="AG8" s="2" t="s">
        <v>10</v>
      </c>
      <c r="AH8" s="11" t="s">
        <v>39</v>
      </c>
      <c r="AI8" s="11" t="s">
        <v>24</v>
      </c>
      <c r="AJ8" s="11" t="s">
        <v>13</v>
      </c>
      <c r="AK8" s="11" t="s">
        <v>10</v>
      </c>
      <c r="AL8" s="11" t="s">
        <v>13</v>
      </c>
      <c r="AM8" s="11" t="s">
        <v>10</v>
      </c>
      <c r="AN8" s="11" t="s">
        <v>13</v>
      </c>
      <c r="AO8" s="11" t="s">
        <v>24</v>
      </c>
      <c r="AP8" s="2" t="s">
        <v>13</v>
      </c>
      <c r="AQ8" s="2" t="s">
        <v>10</v>
      </c>
      <c r="AR8" s="11"/>
      <c r="AS8" s="11"/>
      <c r="AT8" s="47" t="s">
        <v>13</v>
      </c>
      <c r="AU8" s="47" t="s">
        <v>24</v>
      </c>
    </row>
    <row r="9" spans="1:47" ht="12.75">
      <c r="A9" s="4" t="s">
        <v>2</v>
      </c>
      <c r="B9" s="4">
        <v>86</v>
      </c>
      <c r="C9" s="4">
        <v>222497.93</v>
      </c>
      <c r="D9" s="4">
        <v>109</v>
      </c>
      <c r="E9" s="4">
        <v>279429.52</v>
      </c>
      <c r="F9" s="4">
        <f aca="true" t="shared" si="0" ref="F9:G14">B9-D9</f>
        <v>-23</v>
      </c>
      <c r="G9" s="6">
        <f t="shared" si="0"/>
        <v>-56931.590000000026</v>
      </c>
      <c r="H9" s="4">
        <v>30</v>
      </c>
      <c r="I9" s="4">
        <v>77615.55</v>
      </c>
      <c r="J9" s="4">
        <v>36</v>
      </c>
      <c r="K9" s="4">
        <v>92288.64</v>
      </c>
      <c r="L9" s="4">
        <f aca="true" t="shared" si="1" ref="L9:M14">H9-J9</f>
        <v>-6</v>
      </c>
      <c r="M9" s="6">
        <f t="shared" si="1"/>
        <v>-14673.089999999997</v>
      </c>
      <c r="N9" s="4">
        <v>69</v>
      </c>
      <c r="O9" s="4">
        <v>178515.78</v>
      </c>
      <c r="P9" s="38">
        <v>76</v>
      </c>
      <c r="Q9" s="19">
        <v>194831.58</v>
      </c>
      <c r="R9" s="19">
        <f aca="true" t="shared" si="2" ref="R9:S14">N9-P9</f>
        <v>-7</v>
      </c>
      <c r="S9" s="17">
        <f t="shared" si="2"/>
        <v>-16315.799999999988</v>
      </c>
      <c r="T9" s="4">
        <v>10</v>
      </c>
      <c r="U9" s="4">
        <v>25871.84</v>
      </c>
      <c r="V9" s="4"/>
      <c r="W9" s="4"/>
      <c r="X9" s="19">
        <f aca="true" t="shared" si="3" ref="X9:Y14">T9-V9</f>
        <v>10</v>
      </c>
      <c r="Y9" s="17">
        <f t="shared" si="3"/>
        <v>25871.84</v>
      </c>
      <c r="Z9" s="4">
        <v>16</v>
      </c>
      <c r="AA9" s="4">
        <v>41394.97</v>
      </c>
      <c r="AB9" s="4"/>
      <c r="AC9" s="4"/>
      <c r="AD9" s="19">
        <f aca="true" t="shared" si="4" ref="AD9:AE14">Z9-AB9</f>
        <v>16</v>
      </c>
      <c r="AE9" s="17">
        <f t="shared" si="4"/>
        <v>41394.97</v>
      </c>
      <c r="AF9" s="4">
        <v>45</v>
      </c>
      <c r="AG9" s="4">
        <v>116423.34</v>
      </c>
      <c r="AH9" s="4">
        <v>30</v>
      </c>
      <c r="AI9" s="4">
        <v>76907.21</v>
      </c>
      <c r="AJ9" s="4">
        <f aca="true" t="shared" si="5" ref="AJ9:AK14">AF9-AH9</f>
        <v>15</v>
      </c>
      <c r="AK9" s="4">
        <f t="shared" si="5"/>
        <v>39516.12999999999</v>
      </c>
      <c r="AL9" s="4">
        <v>66</v>
      </c>
      <c r="AM9" s="4">
        <v>169195.85</v>
      </c>
      <c r="AN9" s="4">
        <v>107</v>
      </c>
      <c r="AO9" s="4">
        <v>274302.37</v>
      </c>
      <c r="AP9" s="43">
        <f>256+75</f>
        <v>331</v>
      </c>
      <c r="AQ9" s="43">
        <f aca="true" t="shared" si="6" ref="AQ9:AQ14">C9+I9+O9+U9+AA9+AG9</f>
        <v>662319.41</v>
      </c>
      <c r="AR9" s="43">
        <f aca="true" t="shared" si="7" ref="AR9:AR14">D9+J9+P9+V9+AB9+AH9+AL9+AN9</f>
        <v>424</v>
      </c>
      <c r="AS9" s="43">
        <f aca="true" t="shared" si="8" ref="AS9:AS14">E9+K9+Q9+W9+AC9+AB24+AI9+AM9+AO9</f>
        <v>1086955.17</v>
      </c>
      <c r="AT9" s="33">
        <f aca="true" t="shared" si="9" ref="AT9:AU14">AP9-AR9</f>
        <v>-93</v>
      </c>
      <c r="AU9" s="33">
        <f t="shared" si="9"/>
        <v>-424635.7599999999</v>
      </c>
    </row>
    <row r="10" spans="1:47" ht="12.75">
      <c r="A10" s="4" t="s">
        <v>3</v>
      </c>
      <c r="B10" s="4">
        <v>69</v>
      </c>
      <c r="C10" s="4">
        <v>194760.71</v>
      </c>
      <c r="D10" s="4">
        <v>56</v>
      </c>
      <c r="E10" s="4">
        <v>156744.41</v>
      </c>
      <c r="F10" s="4">
        <f t="shared" si="0"/>
        <v>13</v>
      </c>
      <c r="G10" s="6">
        <f t="shared" si="0"/>
        <v>38016.29999999999</v>
      </c>
      <c r="H10" s="4">
        <v>69</v>
      </c>
      <c r="I10" s="4">
        <v>194760.71</v>
      </c>
      <c r="J10" s="4">
        <v>69</v>
      </c>
      <c r="K10" s="4">
        <v>193131.49</v>
      </c>
      <c r="L10" s="4">
        <f t="shared" si="1"/>
        <v>0</v>
      </c>
      <c r="M10" s="6">
        <f t="shared" si="1"/>
        <v>1629.2200000000012</v>
      </c>
      <c r="N10" s="4">
        <v>33</v>
      </c>
      <c r="O10" s="4">
        <v>93146.43</v>
      </c>
      <c r="P10" s="38">
        <v>69</v>
      </c>
      <c r="Q10" s="19">
        <v>193131.49</v>
      </c>
      <c r="R10" s="19">
        <f t="shared" si="2"/>
        <v>-36</v>
      </c>
      <c r="S10" s="17">
        <f t="shared" si="2"/>
        <v>-99985.06</v>
      </c>
      <c r="T10" s="4">
        <v>23</v>
      </c>
      <c r="U10" s="4">
        <v>64920.24</v>
      </c>
      <c r="V10" s="4">
        <v>23</v>
      </c>
      <c r="W10" s="4">
        <v>64377.16</v>
      </c>
      <c r="X10" s="19">
        <f t="shared" si="3"/>
        <v>0</v>
      </c>
      <c r="Y10" s="17">
        <f t="shared" si="3"/>
        <v>543.0799999999945</v>
      </c>
      <c r="Z10" s="4">
        <v>19.55</v>
      </c>
      <c r="AA10" s="4">
        <v>55182.2</v>
      </c>
      <c r="AB10" s="6"/>
      <c r="AC10" s="4"/>
      <c r="AD10" s="19">
        <f t="shared" si="4"/>
        <v>19.55</v>
      </c>
      <c r="AE10" s="17">
        <f t="shared" si="4"/>
        <v>55182.2</v>
      </c>
      <c r="AF10" s="4">
        <v>46</v>
      </c>
      <c r="AG10" s="4">
        <v>129840.47</v>
      </c>
      <c r="AH10" s="4">
        <v>23</v>
      </c>
      <c r="AI10" s="4">
        <v>64377.17</v>
      </c>
      <c r="AJ10" s="4">
        <f t="shared" si="5"/>
        <v>23</v>
      </c>
      <c r="AK10" s="4">
        <f t="shared" si="5"/>
        <v>65463.3</v>
      </c>
      <c r="AL10" s="4">
        <v>46</v>
      </c>
      <c r="AM10" s="4">
        <v>128754.34</v>
      </c>
      <c r="AN10" s="4">
        <v>92</v>
      </c>
      <c r="AO10" s="4">
        <v>257508.66</v>
      </c>
      <c r="AP10" s="43">
        <v>259.55</v>
      </c>
      <c r="AQ10" s="43">
        <f t="shared" si="6"/>
        <v>732610.7599999999</v>
      </c>
      <c r="AR10" s="43">
        <f t="shared" si="7"/>
        <v>378</v>
      </c>
      <c r="AS10" s="43">
        <f t="shared" si="8"/>
        <v>1058024.72</v>
      </c>
      <c r="AT10" s="33">
        <f t="shared" si="9"/>
        <v>-118.44999999999999</v>
      </c>
      <c r="AU10" s="33">
        <f t="shared" si="9"/>
        <v>-325413.9600000001</v>
      </c>
    </row>
    <row r="11" spans="1:47" ht="12.75">
      <c r="A11" s="4" t="s">
        <v>4</v>
      </c>
      <c r="B11" s="4">
        <v>40</v>
      </c>
      <c r="C11" s="4">
        <v>94070.07</v>
      </c>
      <c r="D11" s="4">
        <v>79</v>
      </c>
      <c r="E11" s="4">
        <v>183923.06</v>
      </c>
      <c r="F11" s="4">
        <f t="shared" si="0"/>
        <v>-39</v>
      </c>
      <c r="G11" s="6">
        <f t="shared" si="0"/>
        <v>-89852.98999999999</v>
      </c>
      <c r="H11" s="4">
        <v>50</v>
      </c>
      <c r="I11" s="4">
        <v>117587.59</v>
      </c>
      <c r="J11" s="4">
        <v>84</v>
      </c>
      <c r="K11" s="4">
        <v>195563.76</v>
      </c>
      <c r="L11" s="4">
        <f t="shared" si="1"/>
        <v>-34</v>
      </c>
      <c r="M11" s="6">
        <f t="shared" si="1"/>
        <v>-77976.17000000001</v>
      </c>
      <c r="N11" s="4">
        <v>43</v>
      </c>
      <c r="O11" s="4">
        <v>101125.33</v>
      </c>
      <c r="P11" s="38">
        <v>51</v>
      </c>
      <c r="Q11" s="19">
        <v>118735.14</v>
      </c>
      <c r="R11" s="19">
        <f t="shared" si="2"/>
        <v>-8</v>
      </c>
      <c r="S11" s="17">
        <f t="shared" si="2"/>
        <v>-17609.809999999998</v>
      </c>
      <c r="T11" s="4"/>
      <c r="U11" s="4"/>
      <c r="V11" s="4">
        <v>10</v>
      </c>
      <c r="W11" s="4">
        <v>23281.39</v>
      </c>
      <c r="X11" s="19">
        <f t="shared" si="3"/>
        <v>-10</v>
      </c>
      <c r="Y11" s="17">
        <f t="shared" si="3"/>
        <v>-23281.39</v>
      </c>
      <c r="Z11" s="4"/>
      <c r="AA11" s="4"/>
      <c r="AB11" s="4"/>
      <c r="AC11" s="4"/>
      <c r="AD11" s="19">
        <f t="shared" si="4"/>
        <v>0</v>
      </c>
      <c r="AE11" s="17">
        <f t="shared" si="4"/>
        <v>0</v>
      </c>
      <c r="AF11" s="4">
        <v>66</v>
      </c>
      <c r="AG11" s="4">
        <v>155215.6</v>
      </c>
      <c r="AH11" s="4">
        <v>20</v>
      </c>
      <c r="AI11" s="4">
        <v>46562.8</v>
      </c>
      <c r="AJ11" s="4">
        <f t="shared" si="5"/>
        <v>46</v>
      </c>
      <c r="AK11" s="4">
        <f t="shared" si="5"/>
        <v>108652.8</v>
      </c>
      <c r="AL11" s="4">
        <v>50</v>
      </c>
      <c r="AM11" s="4">
        <v>116407</v>
      </c>
      <c r="AN11" s="4">
        <v>110</v>
      </c>
      <c r="AO11" s="4">
        <v>256095.4</v>
      </c>
      <c r="AP11" s="43">
        <v>199</v>
      </c>
      <c r="AQ11" s="43">
        <f t="shared" si="6"/>
        <v>467998.58999999997</v>
      </c>
      <c r="AR11" s="43">
        <f t="shared" si="7"/>
        <v>404</v>
      </c>
      <c r="AS11" s="43">
        <f t="shared" si="8"/>
        <v>940568.55</v>
      </c>
      <c r="AT11" s="33">
        <f t="shared" si="9"/>
        <v>-205</v>
      </c>
      <c r="AU11" s="33">
        <f t="shared" si="9"/>
        <v>-472569.9600000001</v>
      </c>
    </row>
    <row r="12" spans="1:47" ht="12.75">
      <c r="A12" s="4" t="s">
        <v>5</v>
      </c>
      <c r="B12" s="4">
        <v>79</v>
      </c>
      <c r="C12" s="4">
        <v>212083.89</v>
      </c>
      <c r="D12" s="4">
        <v>92</v>
      </c>
      <c r="E12" s="4">
        <v>244811.48</v>
      </c>
      <c r="F12" s="4">
        <f t="shared" si="0"/>
        <v>-13</v>
      </c>
      <c r="G12" s="6">
        <f t="shared" si="0"/>
        <v>-32727.589999999997</v>
      </c>
      <c r="H12" s="4">
        <v>69</v>
      </c>
      <c r="I12" s="4">
        <v>185237.83</v>
      </c>
      <c r="J12" s="4">
        <v>74</v>
      </c>
      <c r="K12" s="4">
        <v>196913.59</v>
      </c>
      <c r="L12" s="4">
        <f t="shared" si="1"/>
        <v>-5</v>
      </c>
      <c r="M12" s="6">
        <f t="shared" si="1"/>
        <v>-11675.76000000001</v>
      </c>
      <c r="N12" s="4">
        <v>46</v>
      </c>
      <c r="O12" s="4">
        <v>123491.89</v>
      </c>
      <c r="P12" s="19">
        <v>92</v>
      </c>
      <c r="Q12" s="19">
        <v>244811.48</v>
      </c>
      <c r="R12" s="19">
        <f t="shared" si="2"/>
        <v>-46</v>
      </c>
      <c r="S12" s="17">
        <f t="shared" si="2"/>
        <v>-121319.59000000001</v>
      </c>
      <c r="T12" s="4">
        <v>23</v>
      </c>
      <c r="U12" s="4">
        <v>61745.94</v>
      </c>
      <c r="V12" s="4"/>
      <c r="W12" s="4"/>
      <c r="X12" s="19">
        <f t="shared" si="3"/>
        <v>23</v>
      </c>
      <c r="Y12" s="17">
        <f t="shared" si="3"/>
        <v>61745.94</v>
      </c>
      <c r="Z12" s="4">
        <v>23</v>
      </c>
      <c r="AA12" s="4">
        <v>61745.94</v>
      </c>
      <c r="AB12" s="4"/>
      <c r="AC12" s="4"/>
      <c r="AD12" s="19">
        <f t="shared" si="4"/>
        <v>23</v>
      </c>
      <c r="AE12" s="17">
        <f t="shared" si="4"/>
        <v>61745.94</v>
      </c>
      <c r="AF12" s="4">
        <v>46</v>
      </c>
      <c r="AG12" s="4">
        <v>123491.89</v>
      </c>
      <c r="AH12" s="4">
        <v>56</v>
      </c>
      <c r="AI12" s="4">
        <v>149015.69</v>
      </c>
      <c r="AJ12" s="4">
        <f t="shared" si="5"/>
        <v>-10</v>
      </c>
      <c r="AK12" s="4">
        <f t="shared" si="5"/>
        <v>-25523.800000000003</v>
      </c>
      <c r="AL12" s="4">
        <v>53</v>
      </c>
      <c r="AM12" s="4">
        <v>141032.7</v>
      </c>
      <c r="AN12" s="4">
        <v>135</v>
      </c>
      <c r="AO12" s="4">
        <v>359234.24</v>
      </c>
      <c r="AP12" s="43">
        <f>286+46</f>
        <v>332</v>
      </c>
      <c r="AQ12" s="43">
        <f t="shared" si="6"/>
        <v>767797.38</v>
      </c>
      <c r="AR12" s="43">
        <f t="shared" si="7"/>
        <v>502</v>
      </c>
      <c r="AS12" s="43">
        <f t="shared" si="8"/>
        <v>1335819.18</v>
      </c>
      <c r="AT12" s="33">
        <f t="shared" si="9"/>
        <v>-170</v>
      </c>
      <c r="AU12" s="33">
        <f t="shared" si="9"/>
        <v>-568021.7999999999</v>
      </c>
    </row>
    <row r="13" spans="1:47" ht="12.75">
      <c r="A13" s="4" t="s">
        <v>6</v>
      </c>
      <c r="B13" s="4">
        <v>92</v>
      </c>
      <c r="C13" s="4">
        <v>302253.84</v>
      </c>
      <c r="D13" s="4">
        <v>118</v>
      </c>
      <c r="E13" s="4">
        <v>384887.21</v>
      </c>
      <c r="F13" s="4">
        <f t="shared" si="0"/>
        <v>-26</v>
      </c>
      <c r="G13" s="6">
        <f t="shared" si="0"/>
        <v>-82633.37</v>
      </c>
      <c r="H13" s="4">
        <v>92</v>
      </c>
      <c r="I13" s="4">
        <v>302253.84</v>
      </c>
      <c r="J13" s="4">
        <v>50</v>
      </c>
      <c r="K13" s="4">
        <v>163087.8</v>
      </c>
      <c r="L13" s="4">
        <f t="shared" si="1"/>
        <v>42</v>
      </c>
      <c r="M13" s="6">
        <f t="shared" si="1"/>
        <v>139166.04000000004</v>
      </c>
      <c r="N13" s="4">
        <v>46</v>
      </c>
      <c r="O13" s="4">
        <v>151126.92</v>
      </c>
      <c r="P13" s="38">
        <v>40</v>
      </c>
      <c r="Q13" s="19">
        <v>130470.25</v>
      </c>
      <c r="R13" s="19">
        <f t="shared" si="2"/>
        <v>6</v>
      </c>
      <c r="S13" s="17">
        <f t="shared" si="2"/>
        <v>20656.670000000013</v>
      </c>
      <c r="T13" s="4"/>
      <c r="U13" s="4"/>
      <c r="V13" s="4">
        <v>10</v>
      </c>
      <c r="W13" s="4">
        <v>32617.57</v>
      </c>
      <c r="X13" s="19">
        <f t="shared" si="3"/>
        <v>-10</v>
      </c>
      <c r="Y13" s="17">
        <f t="shared" si="3"/>
        <v>-32617.57</v>
      </c>
      <c r="Z13" s="4">
        <v>10</v>
      </c>
      <c r="AA13" s="4">
        <v>32853.68</v>
      </c>
      <c r="AB13" s="4"/>
      <c r="AC13" s="4"/>
      <c r="AD13" s="19">
        <f t="shared" si="4"/>
        <v>10</v>
      </c>
      <c r="AE13" s="17">
        <f t="shared" si="4"/>
        <v>32853.68</v>
      </c>
      <c r="AF13" s="4">
        <v>79</v>
      </c>
      <c r="AG13" s="4">
        <v>259544.07</v>
      </c>
      <c r="AH13" s="4">
        <v>30</v>
      </c>
      <c r="AI13" s="4">
        <v>97852.68</v>
      </c>
      <c r="AJ13" s="4">
        <f t="shared" si="5"/>
        <v>49</v>
      </c>
      <c r="AK13" s="4">
        <f t="shared" si="5"/>
        <v>161691.39</v>
      </c>
      <c r="AL13" s="4">
        <v>60</v>
      </c>
      <c r="AM13" s="4">
        <v>195705.36</v>
      </c>
      <c r="AN13" s="4">
        <v>86</v>
      </c>
      <c r="AO13" s="4">
        <v>280511.02</v>
      </c>
      <c r="AP13" s="43">
        <f>319+46</f>
        <v>365</v>
      </c>
      <c r="AQ13" s="43">
        <f t="shared" si="6"/>
        <v>1048032.3500000001</v>
      </c>
      <c r="AR13" s="43">
        <f t="shared" si="7"/>
        <v>394</v>
      </c>
      <c r="AS13" s="43">
        <f t="shared" si="8"/>
        <v>1285131.8900000001</v>
      </c>
      <c r="AT13" s="33">
        <f t="shared" si="9"/>
        <v>-29</v>
      </c>
      <c r="AU13" s="33">
        <f t="shared" si="9"/>
        <v>-237099.54000000004</v>
      </c>
    </row>
    <row r="14" spans="1:47" ht="12.75">
      <c r="A14" s="4" t="s">
        <v>43</v>
      </c>
      <c r="B14" s="4">
        <v>138</v>
      </c>
      <c r="C14" s="4">
        <v>442177.38</v>
      </c>
      <c r="D14" s="4">
        <v>138</v>
      </c>
      <c r="E14" s="4">
        <v>438918.94</v>
      </c>
      <c r="F14" s="4">
        <f t="shared" si="0"/>
        <v>0</v>
      </c>
      <c r="G14" s="6">
        <f t="shared" si="0"/>
        <v>3258.4400000000023</v>
      </c>
      <c r="H14" s="4">
        <v>69</v>
      </c>
      <c r="I14" s="4">
        <v>221088.69</v>
      </c>
      <c r="J14" s="4">
        <v>112</v>
      </c>
      <c r="K14" s="4">
        <v>356224.07</v>
      </c>
      <c r="L14" s="4">
        <f t="shared" si="1"/>
        <v>-43</v>
      </c>
      <c r="M14" s="6">
        <f t="shared" si="1"/>
        <v>-135135.38</v>
      </c>
      <c r="N14" s="4">
        <v>92</v>
      </c>
      <c r="O14" s="4">
        <v>294784.92</v>
      </c>
      <c r="P14" s="19">
        <v>92</v>
      </c>
      <c r="Q14" s="19">
        <v>292612.63</v>
      </c>
      <c r="R14" s="19">
        <f t="shared" si="2"/>
        <v>0</v>
      </c>
      <c r="S14" s="17">
        <f t="shared" si="2"/>
        <v>2172.289999999979</v>
      </c>
      <c r="T14" s="4">
        <v>23</v>
      </c>
      <c r="U14" s="4">
        <v>73696.24</v>
      </c>
      <c r="V14" s="4">
        <v>46</v>
      </c>
      <c r="W14" s="4">
        <v>146306.31</v>
      </c>
      <c r="X14" s="19">
        <f t="shared" si="3"/>
        <v>-23</v>
      </c>
      <c r="Y14" s="17">
        <f t="shared" si="3"/>
        <v>-72610.06999999999</v>
      </c>
      <c r="Z14" s="4"/>
      <c r="AA14" s="4"/>
      <c r="AB14" s="4"/>
      <c r="AC14" s="4"/>
      <c r="AD14" s="19">
        <f t="shared" si="4"/>
        <v>0</v>
      </c>
      <c r="AE14" s="17">
        <f t="shared" si="4"/>
        <v>0</v>
      </c>
      <c r="AF14" s="4">
        <v>102</v>
      </c>
      <c r="AG14" s="4">
        <v>326826.75</v>
      </c>
      <c r="AH14" s="4">
        <v>92</v>
      </c>
      <c r="AI14" s="4">
        <v>292612.62</v>
      </c>
      <c r="AJ14" s="4">
        <f t="shared" si="5"/>
        <v>10</v>
      </c>
      <c r="AK14" s="4">
        <f t="shared" si="5"/>
        <v>34214.130000000005</v>
      </c>
      <c r="AL14" s="4">
        <v>92</v>
      </c>
      <c r="AM14" s="4">
        <v>292612.63</v>
      </c>
      <c r="AN14" s="4">
        <v>31</v>
      </c>
      <c r="AO14" s="4">
        <v>98597.74</v>
      </c>
      <c r="AP14" s="43">
        <f>424+23</f>
        <v>447</v>
      </c>
      <c r="AQ14" s="43">
        <f t="shared" si="6"/>
        <v>1358573.98</v>
      </c>
      <c r="AR14" s="43">
        <f t="shared" si="7"/>
        <v>603</v>
      </c>
      <c r="AS14" s="43">
        <f t="shared" si="8"/>
        <v>1917884.9400000002</v>
      </c>
      <c r="AT14" s="33">
        <f t="shared" si="9"/>
        <v>-156</v>
      </c>
      <c r="AU14" s="33">
        <f t="shared" si="9"/>
        <v>-559310.9600000002</v>
      </c>
    </row>
    <row r="15" spans="1:47" ht="12.75">
      <c r="A15" s="2" t="s">
        <v>7</v>
      </c>
      <c r="B15" s="2">
        <f>B9+B10+B11+B12+B13+B14</f>
        <v>504</v>
      </c>
      <c r="C15" s="2">
        <f aca="true" t="shared" si="10" ref="C15:AS15">C9+C10+C11+C12+C13+C14</f>
        <v>1467843.8200000003</v>
      </c>
      <c r="D15" s="2">
        <f t="shared" si="10"/>
        <v>592</v>
      </c>
      <c r="E15" s="2">
        <f t="shared" si="10"/>
        <v>1688714.6199999999</v>
      </c>
      <c r="F15" s="2">
        <f t="shared" si="10"/>
        <v>-88</v>
      </c>
      <c r="G15" s="2">
        <f t="shared" si="10"/>
        <v>-220870.80000000002</v>
      </c>
      <c r="H15" s="2">
        <f t="shared" si="10"/>
        <v>379</v>
      </c>
      <c r="I15" s="2">
        <f t="shared" si="10"/>
        <v>1098544.21</v>
      </c>
      <c r="J15" s="2">
        <f t="shared" si="10"/>
        <v>425</v>
      </c>
      <c r="K15" s="2">
        <f t="shared" si="10"/>
        <v>1197209.35</v>
      </c>
      <c r="L15" s="2">
        <f>SUM(L9:L14)</f>
        <v>-46</v>
      </c>
      <c r="M15" s="2">
        <f t="shared" si="10"/>
        <v>-98665.13999999998</v>
      </c>
      <c r="N15" s="2">
        <f t="shared" si="10"/>
        <v>329</v>
      </c>
      <c r="O15" s="2">
        <f>SUM(O9:O14)</f>
        <v>942191.27</v>
      </c>
      <c r="P15" s="2">
        <f t="shared" si="10"/>
        <v>420</v>
      </c>
      <c r="Q15" s="2">
        <f t="shared" si="10"/>
        <v>1174592.5699999998</v>
      </c>
      <c r="R15" s="2">
        <f>SUM(R9:R14)</f>
        <v>-91</v>
      </c>
      <c r="S15" s="34">
        <f>SUM(S9:S14)</f>
        <v>-232401.30000000002</v>
      </c>
      <c r="T15" s="2">
        <f t="shared" si="10"/>
        <v>79</v>
      </c>
      <c r="U15" s="2">
        <f t="shared" si="10"/>
        <v>226234.26</v>
      </c>
      <c r="V15" s="2">
        <f t="shared" si="10"/>
        <v>89</v>
      </c>
      <c r="W15" s="2">
        <f t="shared" si="10"/>
        <v>266582.43</v>
      </c>
      <c r="X15" s="2">
        <f t="shared" si="10"/>
        <v>-10</v>
      </c>
      <c r="Y15" s="34">
        <f t="shared" si="10"/>
        <v>-40348.16999999999</v>
      </c>
      <c r="Z15" s="2">
        <f t="shared" si="10"/>
        <v>68.55</v>
      </c>
      <c r="AA15" s="2">
        <f t="shared" si="10"/>
        <v>191176.78999999998</v>
      </c>
      <c r="AB15" s="2">
        <f t="shared" si="10"/>
        <v>0</v>
      </c>
      <c r="AC15" s="2">
        <f t="shared" si="10"/>
        <v>0</v>
      </c>
      <c r="AD15" s="2">
        <f>SUM(AD9:AD14)</f>
        <v>68.55</v>
      </c>
      <c r="AE15" s="2">
        <f t="shared" si="10"/>
        <v>191176.78999999998</v>
      </c>
      <c r="AF15" s="2">
        <f t="shared" si="10"/>
        <v>384</v>
      </c>
      <c r="AG15" s="2">
        <f t="shared" si="10"/>
        <v>1111342.12</v>
      </c>
      <c r="AH15" s="2">
        <f t="shared" si="10"/>
        <v>251</v>
      </c>
      <c r="AI15" s="2">
        <f t="shared" si="10"/>
        <v>727328.1699999999</v>
      </c>
      <c r="AJ15" s="2">
        <f aca="true" t="shared" si="11" ref="AJ15:AO15">SUM(AJ9:AJ14)</f>
        <v>133</v>
      </c>
      <c r="AK15" s="2">
        <f t="shared" si="11"/>
        <v>384013.95</v>
      </c>
      <c r="AL15" s="2">
        <f t="shared" si="11"/>
        <v>367</v>
      </c>
      <c r="AM15" s="2">
        <f t="shared" si="11"/>
        <v>1043707.88</v>
      </c>
      <c r="AN15" s="2">
        <f t="shared" si="11"/>
        <v>561</v>
      </c>
      <c r="AO15" s="2">
        <f t="shared" si="11"/>
        <v>1526249.43</v>
      </c>
      <c r="AP15" s="2">
        <f t="shared" si="10"/>
        <v>1933.55</v>
      </c>
      <c r="AQ15" s="2">
        <f t="shared" si="10"/>
        <v>5037332.47</v>
      </c>
      <c r="AR15" s="2">
        <f t="shared" si="10"/>
        <v>2705</v>
      </c>
      <c r="AS15" s="2">
        <f t="shared" si="10"/>
        <v>7624384.45</v>
      </c>
      <c r="AT15" s="47">
        <f>SUM(AT9:AT14)</f>
        <v>-771.45</v>
      </c>
      <c r="AU15" s="47">
        <f>SUM(AU9:AU14)</f>
        <v>-2587051.9800000004</v>
      </c>
    </row>
  </sheetData>
  <sheetProtection/>
  <mergeCells count="16">
    <mergeCell ref="AT6:AU6"/>
    <mergeCell ref="Z6:AC6"/>
    <mergeCell ref="F6:G7"/>
    <mergeCell ref="L6:M7"/>
    <mergeCell ref="N6:Q6"/>
    <mergeCell ref="R6:S7"/>
    <mergeCell ref="AD6:AE7"/>
    <mergeCell ref="AF6:AI6"/>
    <mergeCell ref="T6:W6"/>
    <mergeCell ref="X6:Y7"/>
    <mergeCell ref="P7:Q7"/>
    <mergeCell ref="AT7:AU7"/>
    <mergeCell ref="AP6:AS6"/>
    <mergeCell ref="Z7:AA7"/>
    <mergeCell ref="AR7:AS7"/>
    <mergeCell ref="AJ6:A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настя</cp:lastModifiedBy>
  <cp:lastPrinted>2014-10-09T00:45:35Z</cp:lastPrinted>
  <dcterms:created xsi:type="dcterms:W3CDTF">2010-03-11T01:25:09Z</dcterms:created>
  <dcterms:modified xsi:type="dcterms:W3CDTF">2015-11-06T00:58:58Z</dcterms:modified>
  <cp:category/>
  <cp:version/>
  <cp:contentType/>
  <cp:contentStatus/>
</cp:coreProperties>
</file>